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tables/table2.xml" ContentType="application/vnd.openxmlformats-officedocument.spreadsheetml.table+xml"/>
  <Override PartName="/xl/pivotTables/pivotTable1.xml" ContentType="application/vnd.openxmlformats-officedocument.spreadsheetml.pivotTab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hidePivotFieldList="1"/>
  <mc:AlternateContent xmlns:mc="http://schemas.openxmlformats.org/markup-compatibility/2006">
    <mc:Choice Requires="x15">
      <x15ac:absPath xmlns:x15ac="http://schemas.microsoft.com/office/spreadsheetml/2010/11/ac" url="https://d.docs.live.net/84f4355c494e6213/Escritorio/Aleman/"/>
    </mc:Choice>
  </mc:AlternateContent>
  <xr:revisionPtr revIDLastSave="247" documentId="13_ncr:1_{D1B084AB-2378-447C-9A8C-44839B59B7A0}" xr6:coauthVersionLast="47" xr6:coauthVersionMax="47" xr10:uidLastSave="{06DF27BE-4A92-453C-9075-6E24B5B8472E}"/>
  <bookViews>
    <workbookView xWindow="-108" yWindow="-108" windowWidth="23256" windowHeight="12456" activeTab="2" xr2:uid="{00000000-000D-0000-FFFF-FFFF00000000}"/>
  </bookViews>
  <sheets>
    <sheet name="PROJEKTPARAMETER" sheetId="1" r:id="rId1"/>
    <sheet name="PROJEKTDETAILS" sheetId="2" r:id="rId2"/>
    <sheet name="PROJEKTSUMMEN" sheetId="3" r:id="rId3"/>
  </sheets>
  <externalReferences>
    <externalReference r:id="rId4"/>
  </externalReferences>
  <definedNames>
    <definedName name="Product_A_Name">[1]Summary!$C$3</definedName>
    <definedName name="Product_B_Name">[1]Summary!$D$3</definedName>
    <definedName name="ProjectType">Parameters[PROJEKTTYP]</definedName>
    <definedName name="_xlnm.Print_Titles" localSheetId="1">PROJEKTDETAILS!$4:$4</definedName>
    <definedName name="_xlnm.Print_Titles" localSheetId="2">PROJEKTSUMMEN!$5:$5</definedName>
  </definedNames>
  <calcPr calcId="191029"/>
  <pivotCaches>
    <pivotCache cacheId="0" r:id="rId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5" i="1" l="1"/>
  <c r="E7" i="2" l="1"/>
  <c r="F8" i="2"/>
  <c r="B2" i="2"/>
  <c r="G9" i="2" l="1"/>
  <c r="F9" i="2"/>
  <c r="G8" i="2"/>
  <c r="G7" i="2"/>
  <c r="F7" i="2"/>
  <c r="G6" i="2"/>
  <c r="E6" i="2"/>
  <c r="F6" i="2"/>
  <c r="G5" i="2"/>
  <c r="E5" i="2"/>
  <c r="F5" i="2"/>
  <c r="E9" i="2"/>
  <c r="D9" i="2"/>
  <c r="E8" i="2"/>
  <c r="D8" i="2"/>
  <c r="D7" i="2"/>
  <c r="D6" i="2"/>
  <c r="D5" i="2"/>
  <c r="K8" i="2" l="1"/>
  <c r="W5" i="2"/>
  <c r="W6" i="2"/>
  <c r="W7" i="2"/>
  <c r="W8" i="2"/>
  <c r="W9" i="2"/>
  <c r="V5" i="2"/>
  <c r="V6" i="2"/>
  <c r="V7" i="2"/>
  <c r="V8" i="2"/>
  <c r="V9" i="2"/>
  <c r="U5" i="2"/>
  <c r="U6" i="2"/>
  <c r="U7" i="2"/>
  <c r="U8" i="2"/>
  <c r="U9" i="2"/>
  <c r="T5" i="2"/>
  <c r="T6" i="2"/>
  <c r="T7" i="2"/>
  <c r="T8" i="2"/>
  <c r="T9" i="2"/>
  <c r="S5" i="2"/>
  <c r="S6" i="2"/>
  <c r="S7" i="2"/>
  <c r="S8" i="2"/>
  <c r="S9" i="2"/>
  <c r="R5" i="2"/>
  <c r="R6" i="2"/>
  <c r="R7" i="2"/>
  <c r="R8" i="2"/>
  <c r="R9" i="2"/>
  <c r="Q5" i="2"/>
  <c r="Q6" i="2"/>
  <c r="Q7" i="2"/>
  <c r="Q8" i="2"/>
  <c r="Q9" i="2"/>
  <c r="P5" i="2"/>
  <c r="P6" i="2"/>
  <c r="P7" i="2"/>
  <c r="P8" i="2"/>
  <c r="P9" i="2"/>
  <c r="O5" i="2"/>
  <c r="O6" i="2"/>
  <c r="O7" i="2"/>
  <c r="O8" i="2"/>
  <c r="O9" i="2"/>
  <c r="N5" i="2"/>
  <c r="N6" i="2"/>
  <c r="N7" i="2"/>
  <c r="N8" i="2"/>
  <c r="N9" i="2"/>
  <c r="M5" i="2"/>
  <c r="M6" i="2"/>
  <c r="M7" i="2"/>
  <c r="M8" i="2"/>
  <c r="M9" i="2"/>
  <c r="L5" i="2"/>
  <c r="L6" i="2"/>
  <c r="L7" i="2"/>
  <c r="L8" i="2"/>
  <c r="L9" i="2"/>
  <c r="B1" i="2"/>
  <c r="K5" i="2"/>
  <c r="K6" i="2"/>
  <c r="K7" i="2"/>
  <c r="K9" i="2"/>
  <c r="J5" i="2"/>
  <c r="J6" i="2"/>
  <c r="J7" i="2"/>
  <c r="J8" i="2"/>
  <c r="J9" i="2"/>
  <c r="I10" i="2"/>
  <c r="H10" i="2"/>
  <c r="I6" i="1"/>
  <c r="I7" i="1"/>
  <c r="I8" i="1"/>
  <c r="I9" i="1"/>
  <c r="I10" i="1"/>
  <c r="H16" i="1" l="1"/>
  <c r="H18" i="1" s="1"/>
  <c r="F16" i="1"/>
  <c r="F18" i="1" s="1"/>
  <c r="G16" i="1"/>
  <c r="G18" i="1" s="1"/>
  <c r="D16" i="1"/>
  <c r="D18" i="1" s="1"/>
  <c r="E16" i="1"/>
  <c r="E18" i="1" s="1"/>
  <c r="F15" i="1"/>
  <c r="F17" i="1" s="1"/>
  <c r="E15" i="1"/>
  <c r="E17" i="1" s="1"/>
  <c r="C16" i="1"/>
  <c r="C18" i="1" s="1"/>
  <c r="D15" i="1"/>
  <c r="D17" i="1" s="1"/>
  <c r="H15" i="1"/>
  <c r="H17" i="1" s="1"/>
  <c r="C15" i="1"/>
  <c r="C17" i="1" s="1"/>
  <c r="G15" i="1"/>
  <c r="G17" i="1" s="1"/>
  <c r="J10" i="2"/>
  <c r="K10" i="2"/>
</calcChain>
</file>

<file path=xl/sharedStrings.xml><?xml version="1.0" encoding="utf-8"?>
<sst xmlns="http://schemas.openxmlformats.org/spreadsheetml/2006/main" count="98" uniqueCount="76">
  <si>
    <t>ADMIN STAFF</t>
  </si>
  <si>
    <t>PLANNED COST</t>
  </si>
  <si>
    <t>PLANNED HOURS</t>
  </si>
  <si>
    <t>ACTUAL COST</t>
  </si>
  <si>
    <t>ACTUAL HOURS</t>
  </si>
  <si>
    <t>GENERAL PARTNER</t>
  </si>
  <si>
    <t>BUSINESS LAWYER</t>
  </si>
  <si>
    <t>DEFENSE LITIGATOR</t>
  </si>
  <si>
    <t>INTELLECTUAL PROPERTY LAWYER</t>
  </si>
  <si>
    <t>BANKRUPTCY LAWYER</t>
  </si>
  <si>
    <t>GENERAL PARTNER 2</t>
  </si>
  <si>
    <t>BUSINESS LAWYER 2</t>
  </si>
  <si>
    <t>DEFENSE LITIGATOR 2</t>
  </si>
  <si>
    <t>BANKRUPTCY LAWYER 2</t>
  </si>
  <si>
    <t>ADMIN STAFF 2</t>
  </si>
  <si>
    <t xml:space="preserve">GENERAL PARTNER  </t>
  </si>
  <si>
    <t xml:space="preserve">DEFENSE LITIGATOR  </t>
  </si>
  <si>
    <t xml:space="preserve">INTELLECTUAL PROPERTY  </t>
  </si>
  <si>
    <t>INTELLECTUAL PROPERTY LAWYER 2</t>
  </si>
  <si>
    <t xml:space="preserve">BUSINESS    </t>
  </si>
  <si>
    <t xml:space="preserve">BANKRUPTCY  </t>
  </si>
  <si>
    <t xml:space="preserve">ADMIN STAFF  </t>
  </si>
  <si>
    <t>BUSINESS</t>
  </si>
  <si>
    <t>INTELLECTUAL PROP.</t>
  </si>
  <si>
    <t>BANKRUPTCY</t>
  </si>
  <si>
    <t>Create Project Parameters in this worksheet. Enter Company Name in cell at right. Helpful instructions are in cells in this column.</t>
  </si>
  <si>
    <t>Title of this worksheet is in cell at right.</t>
  </si>
  <si>
    <t>Confidentiality message is in cell at right.</t>
  </si>
  <si>
    <t>Tip is in cell at right.</t>
  </si>
  <si>
    <t>Create Project Details in this worksheet. Company Name is auto updated in cell at right. Helpful instructions are in cells in this column. Arrow down to get started.</t>
  </si>
  <si>
    <t>Get Project Totals in this worksheet. Company Name is automatically updated in cell at right. Helpful instructions are in cells in this column. Arrow down to get started.</t>
  </si>
  <si>
    <t>PivotTable starting in cell at right is auto updated</t>
  </si>
  <si>
    <t>Enter details in Parameters table starting in cell at right. Next instruction is in cell A12.</t>
  </si>
  <si>
    <t>Enter Blended Rates in cells at right, cells C12 through H12. Next instruction is in cell A14.</t>
  </si>
  <si>
    <t>Column chart showing comparison between Planned and Actual Cost is in cell at right, and column chart showing comparison between Planned and Actual Hours is in cell F14.</t>
  </si>
  <si>
    <t>Title of this worksheet is in cell at right and Info tip in cell Y2 .</t>
  </si>
  <si>
    <t>Enter information in Details table starting in cell at right. Project Types in Details table at right are auto updated from Parameters table in Project Parameters worksheet.</t>
  </si>
  <si>
    <t>Estimated label is in cell C4, Actual label in cell I4, and Info tip in cell P4.</t>
  </si>
  <si>
    <t>INFO: 
This PivotTable will not refresh automatically.  To refresh it, select it (any cell within the PivotTable), on the PIVOTTABLE TOOLS | ANALYZE ribbon tab select Refresh.  Or press SHIFT + F10 by selecting the PivotTable and select Refresh.</t>
  </si>
  <si>
    <t>Firmenname</t>
  </si>
  <si>
    <t>Projektplanung für Anwaltskanzleien</t>
  </si>
  <si>
    <t>PROJEKTTYP</t>
  </si>
  <si>
    <t>Unternehmensgründung</t>
  </si>
  <si>
    <t>Unternehmensübernahme</t>
  </si>
  <si>
    <t>Produkthaftungsverteidigung</t>
  </si>
  <si>
    <t>Patentanmeldung</t>
  </si>
  <si>
    <t>Arbeitnehmerklage</t>
  </si>
  <si>
    <t>Insolvenz</t>
  </si>
  <si>
    <t>Blending-Raten</t>
  </si>
  <si>
    <t>GENERALPARTNER</t>
  </si>
  <si>
    <t>WIRTSCHAFTSANWALT</t>
  </si>
  <si>
    <t>VERTEIDIGUNGSANWALT</t>
  </si>
  <si>
    <t>GEISTIGER EIGENTUMSANWALT</t>
  </si>
  <si>
    <t>INSOLVENZRECHTSANWALT</t>
  </si>
  <si>
    <t>VERWALTUNGSPERSONAL</t>
  </si>
  <si>
    <t>GESAMT</t>
  </si>
  <si>
    <t>PROJEKTNAME</t>
  </si>
  <si>
    <t>Projekt 1</t>
  </si>
  <si>
    <t>Projekt 2</t>
  </si>
  <si>
    <t>Projekt 3</t>
  </si>
  <si>
    <t>Projekt 4</t>
  </si>
  <si>
    <t>Projekt 5</t>
  </si>
  <si>
    <t>GESCHÄTZTER START</t>
  </si>
  <si>
    <t>GESCHÄTZTES ERGEBNIS</t>
  </si>
  <si>
    <t>EIGENTLICHER START</t>
  </si>
  <si>
    <t>AKTUELLES ERGEBNIS</t>
  </si>
  <si>
    <t>GESCHÄTZTE ARBEIT</t>
  </si>
  <si>
    <t>TATSÄCHLICHE ARBEIT</t>
  </si>
  <si>
    <t>GESCHÄTZTE DAUER</t>
  </si>
  <si>
    <t>TATSÄCHLICHE DAUER</t>
  </si>
  <si>
    <t>GESCHÄTZT</t>
  </si>
  <si>
    <t>AKTUELL</t>
  </si>
  <si>
    <t>GESCHÄFT</t>
  </si>
  <si>
    <t>GEISTIGES EIGENTUM</t>
  </si>
  <si>
    <t>INSOLVENZ</t>
  </si>
  <si>
    <t>Gesamtallgemein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</si>
</sst>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quot;#,##0"/>
    <numFmt numFmtId="165" formatCode="&quot;$&quot;#,##0.00"/>
    <numFmt numFmtId="167" formatCode="#,##0\ [$€-407]"/>
    <numFmt numFmtId="169" formatCode="[$-407]d\.\ mmmm\ yyyy;@"/>
    <numFmt numFmtId="170" formatCode="#,##0.00\ [$€-407]"/>
  </numFmts>
  <fonts count="21" x14ac:knownFonts="1">
    <font>
      <sz val="10"/>
      <color theme="1" tint="0.24994659260841701"/>
      <name val="Cambria"/>
      <family val="2"/>
      <scheme val="minor"/>
    </font>
    <font>
      <sz val="11"/>
      <color theme="1"/>
      <name val="Cambria"/>
      <family val="2"/>
      <scheme val="minor"/>
    </font>
    <font>
      <sz val="11"/>
      <color theme="1"/>
      <name val="Cambria"/>
      <family val="1"/>
      <scheme val="minor"/>
    </font>
    <font>
      <sz val="20"/>
      <color theme="1" tint="0.24994659260841701"/>
      <name val="Tahoma"/>
      <family val="2"/>
      <scheme val="major"/>
    </font>
    <font>
      <sz val="16"/>
      <color theme="1" tint="0.34998626667073579"/>
      <name val="Tahoma"/>
      <family val="2"/>
      <scheme val="major"/>
    </font>
    <font>
      <sz val="12"/>
      <color theme="1" tint="0.24994659260841701"/>
      <name val="Tahoma"/>
      <family val="2"/>
      <scheme val="major"/>
    </font>
    <font>
      <sz val="11"/>
      <color theme="1"/>
      <name val="Cambria"/>
      <family val="1"/>
      <scheme val="minor"/>
    </font>
    <font>
      <i/>
      <sz val="10"/>
      <color theme="1"/>
      <name val="Tahoma"/>
      <family val="2"/>
      <scheme val="major"/>
    </font>
    <font>
      <sz val="10"/>
      <color theme="1"/>
      <name val="Tahoma"/>
      <family val="2"/>
      <scheme val="major"/>
    </font>
    <font>
      <sz val="10"/>
      <color theme="1"/>
      <name val="Tahoma"/>
      <family val="2"/>
      <scheme val="major"/>
    </font>
    <font>
      <sz val="11"/>
      <color theme="0"/>
      <name val="Cambria"/>
      <family val="1"/>
      <scheme val="minor"/>
    </font>
    <font>
      <b/>
      <sz val="11"/>
      <color theme="3"/>
      <name val="Cambria"/>
      <family val="2"/>
      <scheme val="minor"/>
    </font>
    <font>
      <sz val="11"/>
      <name val="Cambria"/>
      <family val="1"/>
      <scheme val="minor"/>
    </font>
    <font>
      <sz val="11"/>
      <color theme="0"/>
      <name val="Calibri"/>
      <family val="2"/>
    </font>
    <font>
      <sz val="10"/>
      <color theme="1" tint="0.24994659260841701"/>
      <name val="Cambria"/>
      <family val="1"/>
      <scheme val="minor"/>
    </font>
    <font>
      <b/>
      <sz val="11"/>
      <color theme="3" tint="-0.249977111117893"/>
      <name val="Cambria"/>
      <family val="2"/>
      <scheme val="minor"/>
    </font>
    <font>
      <u/>
      <sz val="11"/>
      <color theme="10"/>
      <name val="Cambria"/>
      <family val="2"/>
      <scheme val="minor"/>
    </font>
    <font>
      <sz val="20"/>
      <color theme="0"/>
      <name val="Algerian"/>
      <family val="5"/>
    </font>
    <font>
      <sz val="20"/>
      <color theme="1"/>
      <name val="Algerian"/>
      <family val="5"/>
    </font>
    <font>
      <sz val="20"/>
      <color theme="0"/>
      <name val="Tahoma"/>
      <family val="2"/>
      <scheme val="major"/>
    </font>
    <font>
      <sz val="12"/>
      <color theme="1"/>
      <name val="Cambria"/>
      <family val="1"/>
      <scheme val="minor"/>
    </font>
  </fonts>
  <fills count="6">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5" tint="-0.249977111117893"/>
        <bgColor indexed="64"/>
      </patternFill>
    </fill>
    <fill>
      <patternFill patternType="solid">
        <fgColor theme="7" tint="0.39997558519241921"/>
        <bgColor indexed="64"/>
      </patternFill>
    </fill>
  </fills>
  <borders count="5">
    <border>
      <left/>
      <right/>
      <top/>
      <bottom/>
      <diagonal/>
    </border>
    <border>
      <left/>
      <right/>
      <top/>
      <bottom style="thin">
        <color theme="4"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s>
  <cellStyleXfs count="7">
    <xf numFmtId="0" fontId="0" fillId="0" borderId="0"/>
    <xf numFmtId="0" fontId="3" fillId="0" borderId="1" applyNumberFormat="0" applyFill="0" applyAlignment="0" applyProtection="0"/>
    <xf numFmtId="0" fontId="4" fillId="0" borderId="0" applyNumberFormat="0" applyFill="0" applyAlignment="0" applyProtection="0"/>
    <xf numFmtId="0" fontId="5" fillId="0" borderId="0" applyNumberFormat="0" applyFill="0" applyAlignment="0" applyProtection="0"/>
    <xf numFmtId="0" fontId="11" fillId="0" borderId="0" applyNumberFormat="0" applyFill="0" applyBorder="0" applyAlignment="0" applyProtection="0"/>
    <xf numFmtId="0" fontId="1" fillId="0" borderId="0"/>
    <xf numFmtId="0" fontId="16" fillId="0" borderId="0" applyNumberFormat="0" applyFill="0" applyBorder="0" applyAlignment="0" applyProtection="0"/>
  </cellStyleXfs>
  <cellXfs count="39">
    <xf numFmtId="0" fontId="0" fillId="0" borderId="0" xfId="0"/>
    <xf numFmtId="0" fontId="2" fillId="0" borderId="0" xfId="0" applyFont="1"/>
    <xf numFmtId="0" fontId="4" fillId="0" borderId="0" xfId="2"/>
    <xf numFmtId="0" fontId="5" fillId="0" borderId="0" xfId="3"/>
    <xf numFmtId="0" fontId="6" fillId="0" borderId="0" xfId="0" applyFont="1"/>
    <xf numFmtId="9" fontId="6" fillId="0" borderId="0" xfId="0" applyNumberFormat="1" applyFont="1"/>
    <xf numFmtId="9" fontId="6" fillId="2" borderId="0" xfId="0" applyNumberFormat="1" applyFont="1" applyFill="1"/>
    <xf numFmtId="0" fontId="7" fillId="0" borderId="0" xfId="0" applyFont="1"/>
    <xf numFmtId="0" fontId="0" fillId="0" borderId="0" xfId="0" applyAlignment="1">
      <alignment wrapText="1"/>
    </xf>
    <xf numFmtId="0" fontId="2" fillId="0" borderId="0" xfId="0" applyFont="1" applyAlignment="1">
      <alignment wrapText="1"/>
    </xf>
    <xf numFmtId="0" fontId="10" fillId="0" borderId="0" xfId="0" applyFont="1"/>
    <xf numFmtId="165" fontId="10" fillId="0" borderId="0" xfId="0" applyNumberFormat="1" applyFont="1"/>
    <xf numFmtId="4" fontId="10" fillId="0" borderId="0" xfId="0" applyNumberFormat="1" applyFont="1"/>
    <xf numFmtId="0" fontId="12" fillId="0" borderId="0" xfId="0" applyFont="1"/>
    <xf numFmtId="0" fontId="9" fillId="4" borderId="0" xfId="0" applyFont="1" applyFill="1" applyAlignment="1">
      <alignment wrapText="1"/>
    </xf>
    <xf numFmtId="0" fontId="8" fillId="4" borderId="0" xfId="0" applyFont="1" applyFill="1" applyAlignment="1">
      <alignment wrapText="1"/>
    </xf>
    <xf numFmtId="0" fontId="5" fillId="0" borderId="0" xfId="3" applyAlignment="1">
      <alignment vertical="top"/>
    </xf>
    <xf numFmtId="0" fontId="2" fillId="0" borderId="0" xfId="0" applyFont="1" applyAlignment="1">
      <alignment vertical="top"/>
    </xf>
    <xf numFmtId="0" fontId="13" fillId="0" borderId="0" xfId="0" applyFont="1" applyAlignment="1">
      <alignment vertical="center"/>
    </xf>
    <xf numFmtId="0" fontId="17" fillId="5" borderId="1" xfId="1" applyFont="1" applyFill="1" applyAlignment="1">
      <alignment vertical="center"/>
    </xf>
    <xf numFmtId="0" fontId="18" fillId="5" borderId="1" xfId="1" applyFont="1" applyFill="1" applyAlignment="1">
      <alignment vertical="center"/>
    </xf>
    <xf numFmtId="0" fontId="14" fillId="0" borderId="0" xfId="0" applyNumberFormat="1" applyFont="1" applyFill="1" applyBorder="1" applyAlignment="1" applyProtection="1"/>
    <xf numFmtId="0" fontId="19" fillId="5" borderId="1" xfId="1" applyFont="1" applyFill="1" applyAlignment="1">
      <alignment vertical="center"/>
    </xf>
    <xf numFmtId="0" fontId="0" fillId="4" borderId="0" xfId="0" applyFill="1" applyAlignment="1">
      <alignment vertical="center" wrapText="1"/>
    </xf>
    <xf numFmtId="0" fontId="10" fillId="0" borderId="0" xfId="0" applyFont="1" applyAlignment="1">
      <alignment vertical="center"/>
    </xf>
    <xf numFmtId="0" fontId="0" fillId="0" borderId="0" xfId="0" applyAlignment="1">
      <alignment vertical="center"/>
    </xf>
    <xf numFmtId="164" fontId="0" fillId="0" borderId="0" xfId="0" applyNumberFormat="1" applyAlignment="1">
      <alignment vertical="center"/>
    </xf>
    <xf numFmtId="0" fontId="2" fillId="0" borderId="0" xfId="0" applyFont="1" applyAlignment="1">
      <alignment vertical="center"/>
    </xf>
    <xf numFmtId="0" fontId="20" fillId="0" borderId="0" xfId="0" applyFont="1"/>
    <xf numFmtId="0" fontId="10" fillId="0" borderId="0" xfId="0" applyFont="1" applyAlignment="1">
      <alignment horizontal="center" wrapText="1"/>
    </xf>
    <xf numFmtId="0" fontId="10" fillId="0" borderId="0" xfId="0" applyFont="1" applyAlignment="1">
      <alignment horizontal="center"/>
    </xf>
    <xf numFmtId="0" fontId="15" fillId="3" borderId="2" xfId="4" applyFont="1" applyFill="1" applyBorder="1" applyAlignment="1">
      <alignment horizontal="center" vertical="center"/>
    </xf>
    <xf numFmtId="0" fontId="15" fillId="3" borderId="3" xfId="4" applyFont="1" applyFill="1" applyBorder="1" applyAlignment="1">
      <alignment horizontal="center" vertical="center"/>
    </xf>
    <xf numFmtId="0" fontId="15" fillId="3" borderId="4" xfId="4" applyFont="1" applyFill="1" applyBorder="1" applyAlignment="1">
      <alignment horizontal="center" vertical="center"/>
    </xf>
    <xf numFmtId="0" fontId="10" fillId="0" borderId="0" xfId="0" applyFont="1" applyAlignment="1">
      <alignment horizontal="center" vertical="top" wrapText="1"/>
    </xf>
    <xf numFmtId="0" fontId="10" fillId="0" borderId="0" xfId="0" applyFont="1" applyAlignment="1">
      <alignment horizontal="center" vertical="top"/>
    </xf>
    <xf numFmtId="167" fontId="20" fillId="0" borderId="0" xfId="0" applyNumberFormat="1" applyFont="1"/>
    <xf numFmtId="169" fontId="0" fillId="0" borderId="0" xfId="0" applyNumberFormat="1" applyAlignment="1">
      <alignment vertical="center"/>
    </xf>
    <xf numFmtId="170" fontId="0" fillId="0" borderId="0" xfId="0" applyNumberFormat="1"/>
  </cellXfs>
  <cellStyles count="7">
    <cellStyle name="Encabezado 1" xfId="1" builtinId="16" customBuiltin="1"/>
    <cellStyle name="Encabezado 4" xfId="4" builtinId="19"/>
    <cellStyle name="Hyperlink 2" xfId="6" xr:uid="{00000000-0005-0000-0000-000004000000}"/>
    <cellStyle name="Normal" xfId="0" builtinId="0" customBuiltin="1"/>
    <cellStyle name="Normal 2" xfId="5" xr:uid="{00000000-0005-0000-0000-000006000000}"/>
    <cellStyle name="Título 2" xfId="2" builtinId="17" customBuiltin="1"/>
    <cellStyle name="Título 3" xfId="3" builtinId="18" customBuiltin="1"/>
  </cellStyles>
  <dxfs count="258">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70" formatCode="#,##0.00\ [$€-407]"/>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70" formatCode="#,##0.00\ [$€-407]"/>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70" formatCode="#,##0.00\ [$€-407]"/>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70" formatCode="#,##0.00\ [$€-407]"/>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70" formatCode="#,##0.00\ [$€-407]"/>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70" formatCode="#,##0.00\ [$€-407]"/>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70" formatCode="#,##0.00\ [$€-407]"/>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9" formatCode="[$-407]d\.\ mmmm\ yyyy;@"/>
      <alignment vertical="center" textRotation="0" wrapText="0" indent="0" justifyLastLine="0" shrinkToFit="0" readingOrder="0"/>
    </dxf>
    <dxf>
      <numFmt numFmtId="169" formatCode="[$-407]d\.\ mmmm\ yyyy;@"/>
      <alignment vertical="center" textRotation="0" wrapText="0" indent="0" justifyLastLine="0" shrinkToFit="0" readingOrder="0"/>
    </dxf>
    <dxf>
      <numFmt numFmtId="169" formatCode="[$-407]d\.\ mmmm\ yyyy;@"/>
      <alignment vertical="center" textRotation="0" wrapText="0" indent="0" justifyLastLine="0" shrinkToFit="0" readingOrder="0"/>
    </dxf>
    <dxf>
      <numFmt numFmtId="169" formatCode="[$-407]d\.\ mmmm\ yyyy;@"/>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0" formatCode="General"/>
      <alignment vertical="center" textRotation="0" wrapText="0" indent="0" justifyLastLine="0" shrinkToFit="0" readingOrder="0"/>
    </dxf>
    <dxf>
      <numFmt numFmtId="0" formatCode="General"/>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0"/>
        <color theme="1"/>
        <name val="Tahoma"/>
        <scheme val="major"/>
      </font>
      <fill>
        <patternFill patternType="solid">
          <fgColor indexed="64"/>
          <bgColor theme="5" tint="-0.249977111117893"/>
        </patternFill>
      </fill>
      <alignment horizontal="general" vertical="bottom" textRotation="0" wrapText="1" indent="0" justifyLastLine="0" shrinkToFit="0" readingOrder="0"/>
    </dxf>
    <dxf>
      <font>
        <b val="0"/>
        <i val="0"/>
        <strike val="0"/>
        <condense val="0"/>
        <extend val="0"/>
        <outline val="0"/>
        <shadow val="0"/>
        <u val="none"/>
        <vertAlign val="baseline"/>
        <sz val="11"/>
        <color theme="1"/>
        <name val="Cambria"/>
        <scheme val="minor"/>
      </font>
      <numFmt numFmtId="13" formatCode="0%"/>
      <fill>
        <patternFill patternType="solid">
          <fgColor indexed="64"/>
          <bgColor theme="0" tint="-0.14996795556505021"/>
        </patternFill>
      </fill>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dxf>
    <dxf>
      <font>
        <b val="0"/>
        <i val="0"/>
        <strike val="0"/>
        <condense val="0"/>
        <extend val="0"/>
        <outline val="0"/>
        <shadow val="0"/>
        <u val="none"/>
        <vertAlign val="baseline"/>
        <sz val="11"/>
        <color theme="1"/>
        <name val="Cambria"/>
        <scheme val="minor"/>
      </font>
    </dxf>
    <dxf>
      <alignment horizontal="general" vertical="bottom" textRotation="0" wrapText="1" indent="0" justifyLastLine="0" shrinkToFit="0" readingOrder="0"/>
    </dxf>
  </dxfs>
  <tableStyles count="0" defaultTableStyle="TableStyleMedium3" defaultPivotStyle="PivotStyleMedium3"/>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pivotCacheDefinition" Target="pivotCache/pivotCacheDefinition1.xml"/><Relationship Id="rId4" Type="http://schemas.openxmlformats.org/officeDocument/2006/relationships/externalLink" Target="externalLinks/externalLink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r>
              <a:rPr lang="es-MX" sz="1400" b="0" i="0" u="none" strike="noStrike" cap="none" baseline="0">
                <a:effectLst/>
              </a:rPr>
              <a:t>GEPLANTE VS. TATSÄCHLICHE KOSTEN</a:t>
            </a:r>
            <a:endParaRPr lang="en-US"/>
          </a:p>
        </c:rich>
      </c:tx>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en-US"/>
        </a:p>
      </c:txPr>
    </c:title>
    <c:autoTitleDeleted val="0"/>
    <c:plotArea>
      <c:layout>
        <c:manualLayout>
          <c:layoutTarget val="inner"/>
          <c:xMode val="edge"/>
          <c:yMode val="edge"/>
          <c:x val="0.15201967922399656"/>
          <c:y val="7.4876990335432617E-2"/>
          <c:w val="0.81843822328708171"/>
          <c:h val="0.65599746139610415"/>
        </c:manualLayout>
      </c:layout>
      <c:barChart>
        <c:barDir val="col"/>
        <c:grouping val="clustered"/>
        <c:varyColors val="0"/>
        <c:ser>
          <c:idx val="0"/>
          <c:order val="0"/>
          <c:tx>
            <c:strRef>
              <c:f>PROJEKTPARAMETER!$B$15</c:f>
              <c:strCache>
                <c:ptCount val="1"/>
                <c:pt idx="0">
                  <c:v>PLANNED COST</c:v>
                </c:pt>
              </c:strCache>
            </c:strRef>
          </c:tx>
          <c:spPr>
            <a:gradFill rotWithShape="1">
              <a:gsLst>
                <a:gs pos="0">
                  <a:schemeClr val="accent2">
                    <a:tint val="50000"/>
                    <a:satMod val="300000"/>
                  </a:schemeClr>
                </a:gs>
                <a:gs pos="35000">
                  <a:schemeClr val="accent2">
                    <a:tint val="37000"/>
                    <a:satMod val="300000"/>
                  </a:schemeClr>
                </a:gs>
                <a:gs pos="100000">
                  <a:schemeClr val="accent2">
                    <a:tint val="15000"/>
                    <a:satMod val="350000"/>
                  </a:schemeClr>
                </a:gs>
              </a:gsLst>
              <a:lin ang="16200000" scaled="1"/>
            </a:gradFill>
            <a:ln w="9525" cap="flat" cmpd="sng" algn="ctr">
              <a:solidFill>
                <a:schemeClr val="accent2">
                  <a:shade val="95000"/>
                </a:schemeClr>
              </a:solidFill>
              <a:round/>
            </a:ln>
            <a:effectLst>
              <a:outerShdw blurRad="40000" dist="20000" dir="5400000" rotWithShape="0">
                <a:srgbClr val="000000">
                  <a:alpha val="38000"/>
                </a:srgbClr>
              </a:outerShdw>
            </a:effectLst>
          </c:spPr>
          <c:invertIfNegative val="0"/>
          <c:dLbls>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PROJEKTPARAMETER!$C$14:$H$14</c:f>
              <c:strCache>
                <c:ptCount val="6"/>
                <c:pt idx="0">
                  <c:v>GENERAL PARTNER</c:v>
                </c:pt>
                <c:pt idx="1">
                  <c:v>BUSINESS</c:v>
                </c:pt>
                <c:pt idx="2">
                  <c:v>DEFENSE LITIGATOR</c:v>
                </c:pt>
                <c:pt idx="3">
                  <c:v>INTELLECTUAL PROP.</c:v>
                </c:pt>
                <c:pt idx="4">
                  <c:v>BANKRUPTCY</c:v>
                </c:pt>
                <c:pt idx="5">
                  <c:v>ADMIN STAFF</c:v>
                </c:pt>
              </c:strCache>
            </c:strRef>
          </c:cat>
          <c:val>
            <c:numRef>
              <c:f>PROJEKTPARAMETER!$C$15:$H$15</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0-6ECC-437E-8AEA-3745CBED7649}"/>
            </c:ext>
          </c:extLst>
        </c:ser>
        <c:ser>
          <c:idx val="1"/>
          <c:order val="1"/>
          <c:tx>
            <c:strRef>
              <c:f>PROJEKTPARAMETER!$B$16</c:f>
              <c:strCache>
                <c:ptCount val="1"/>
                <c:pt idx="0">
                  <c:v>ACTUAL COST</c:v>
                </c:pt>
              </c:strCache>
            </c:strRef>
          </c:tx>
          <c:spPr>
            <a:solidFill>
              <a:schemeClr val="accent5">
                <a:lumMod val="75000"/>
              </a:schemeClr>
            </a:solidFill>
            <a:ln w="9525" cap="flat" cmpd="sng" algn="ctr">
              <a:solidFill>
                <a:schemeClr val="accent4">
                  <a:shade val="95000"/>
                </a:schemeClr>
              </a:solidFill>
              <a:round/>
            </a:ln>
            <a:effectLst>
              <a:outerShdw blurRad="40000" dist="20000" dir="5400000" rotWithShape="0">
                <a:srgbClr val="000000">
                  <a:alpha val="38000"/>
                </a:srgbClr>
              </a:outerShdw>
            </a:effectLst>
          </c:spPr>
          <c:invertIfNegative val="0"/>
          <c:dLbls>
            <c:dLbl>
              <c:idx val="0"/>
              <c:layout>
                <c:manualLayout>
                  <c:x val="2.4618414574101204E-3"/>
                  <c:y val="-3.692761470288971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0E3F-4BD0-8544-8666F23CFF5F}"/>
                </c:ext>
              </c:extLst>
            </c:dLbl>
            <c:dLbl>
              <c:idx val="1"/>
              <c:layout>
                <c:manualLayout>
                  <c:x val="-7.385524372230428E-3"/>
                  <c:y val="-5.16986605840456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E3F-4BD0-8544-8666F23CFF5F}"/>
                </c:ext>
              </c:extLst>
            </c:dLbl>
            <c:dLbl>
              <c:idx val="2"/>
              <c:layout>
                <c:manualLayout>
                  <c:x val="1.4771048744460766E-2"/>
                  <c:y val="-3.938945568308237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E3F-4BD0-8544-8666F23CFF5F}"/>
                </c:ext>
              </c:extLst>
            </c:dLbl>
            <c:dLbl>
              <c:idx val="3"/>
              <c:layout>
                <c:manualLayout>
                  <c:x val="1.2309207287050714E-2"/>
                  <c:y val="-6.15460245048161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E3F-4BD0-8544-8666F23CFF5F}"/>
                </c:ext>
              </c:extLst>
            </c:dLbl>
            <c:dLbl>
              <c:idx val="5"/>
              <c:layout>
                <c:manualLayout>
                  <c:x val="0"/>
                  <c:y val="-4.431313764346765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E3F-4BD0-8544-8666F23CFF5F}"/>
                </c:ext>
              </c:extLst>
            </c:dLbl>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PROJEKTPARAMETER!$C$14:$H$14</c:f>
              <c:strCache>
                <c:ptCount val="6"/>
                <c:pt idx="0">
                  <c:v>GENERAL PARTNER</c:v>
                </c:pt>
                <c:pt idx="1">
                  <c:v>BUSINESS</c:v>
                </c:pt>
                <c:pt idx="2">
                  <c:v>DEFENSE LITIGATOR</c:v>
                </c:pt>
                <c:pt idx="3">
                  <c:v>INTELLECTUAL PROP.</c:v>
                </c:pt>
                <c:pt idx="4">
                  <c:v>BANKRUPTCY</c:v>
                </c:pt>
                <c:pt idx="5">
                  <c:v>ADMIN STAFF</c:v>
                </c:pt>
              </c:strCache>
            </c:strRef>
          </c:cat>
          <c:val>
            <c:numRef>
              <c:f>PROJEKTPARAMETER!$C$16:$H$16</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1-6ECC-437E-8AEA-3745CBED7649}"/>
            </c:ext>
          </c:extLst>
        </c:ser>
        <c:dLbls>
          <c:showLegendKey val="0"/>
          <c:showVal val="0"/>
          <c:showCatName val="0"/>
          <c:showSerName val="0"/>
          <c:showPercent val="0"/>
          <c:showBubbleSize val="0"/>
        </c:dLbls>
        <c:gapWidth val="100"/>
        <c:overlap val="-24"/>
        <c:axId val="205949184"/>
        <c:axId val="205963264"/>
      </c:barChart>
      <c:catAx>
        <c:axId val="205949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205963264"/>
        <c:crosses val="autoZero"/>
        <c:auto val="1"/>
        <c:lblAlgn val="ctr"/>
        <c:lblOffset val="100"/>
        <c:noMultiLvlLbl val="0"/>
      </c:catAx>
      <c:valAx>
        <c:axId val="205963264"/>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205949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cap="none" spc="0" normalizeH="0" baseline="0">
                <a:solidFill>
                  <a:schemeClr val="tx1">
                    <a:lumMod val="65000"/>
                    <a:lumOff val="35000"/>
                  </a:schemeClr>
                </a:solidFill>
                <a:latin typeface="+mj-lt"/>
                <a:ea typeface="+mj-ea"/>
                <a:cs typeface="+mj-cs"/>
              </a:defRPr>
            </a:pPr>
            <a:r>
              <a:rPr lang="es-MX" sz="2000" b="0" i="0" u="none" strike="noStrike" cap="none" normalizeH="0" baseline="0">
                <a:effectLst/>
              </a:rPr>
              <a:t>GEPLANTE VS. TATSÄCHLICHE ARBEITSZEITEN</a:t>
            </a:r>
            <a:endParaRPr lang="en-US"/>
          </a:p>
        </c:rich>
      </c:tx>
      <c:overlay val="0"/>
      <c:spPr>
        <a:noFill/>
        <a:ln>
          <a:noFill/>
        </a:ln>
        <a:effectLst/>
      </c:spPr>
      <c:txPr>
        <a:bodyPr rot="0" spcFirstLastPara="1" vertOverflow="ellipsis" vert="horz" wrap="square" anchor="ctr" anchorCtr="1"/>
        <a:lstStyle/>
        <a:p>
          <a:pPr>
            <a:defRPr sz="2000" b="0" i="0" u="none" strike="noStrike" kern="1200" cap="none" spc="0" normalizeH="0" baseline="0">
              <a:solidFill>
                <a:schemeClr val="tx1">
                  <a:lumMod val="65000"/>
                  <a:lumOff val="35000"/>
                </a:schemeClr>
              </a:solidFill>
              <a:latin typeface="+mj-lt"/>
              <a:ea typeface="+mj-ea"/>
              <a:cs typeface="+mj-cs"/>
            </a:defRPr>
          </a:pPr>
          <a:endParaRPr lang="en-US"/>
        </a:p>
      </c:txPr>
    </c:title>
    <c:autoTitleDeleted val="0"/>
    <c:plotArea>
      <c:layout/>
      <c:barChart>
        <c:barDir val="col"/>
        <c:grouping val="clustered"/>
        <c:varyColors val="0"/>
        <c:ser>
          <c:idx val="0"/>
          <c:order val="0"/>
          <c:tx>
            <c:strRef>
              <c:f>PROJEKTPARAMETER!$B$17</c:f>
              <c:strCache>
                <c:ptCount val="1"/>
                <c:pt idx="0">
                  <c:v>PLANNED HOURS</c:v>
                </c:pt>
              </c:strCache>
            </c:strRef>
          </c:tx>
          <c:spPr>
            <a:solidFill>
              <a:schemeClr val="accent2">
                <a:lumMod val="40000"/>
                <a:lumOff val="60000"/>
              </a:schemeClr>
            </a:solidFill>
            <a:ln>
              <a:noFill/>
            </a:ln>
            <a:effectLst/>
          </c:spPr>
          <c:invertIfNegative val="0"/>
          <c:dLbls>
            <c:dLbl>
              <c:idx val="0"/>
              <c:layout>
                <c:manualLayout>
                  <c:x val="2.4573043371421324E-3"/>
                  <c:y val="-3.692761470288971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39F-4851-A9F6-10ABCC0E3181}"/>
                </c:ext>
              </c:extLst>
            </c:dLbl>
            <c:dLbl>
              <c:idx val="1"/>
              <c:layout>
                <c:manualLayout>
                  <c:x val="0"/>
                  <c:y val="-3.93894556830823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39F-4851-A9F6-10ABCC0E3181}"/>
                </c:ext>
              </c:extLst>
            </c:dLbl>
            <c:dLbl>
              <c:idx val="2"/>
              <c:layout>
                <c:manualLayout>
                  <c:x val="-9.0100118184291873E-17"/>
                  <c:y val="-3.446577372269706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39F-4851-A9F6-10ABCC0E3181}"/>
                </c:ext>
              </c:extLst>
            </c:dLbl>
            <c:dLbl>
              <c:idx val="3"/>
              <c:layout>
                <c:manualLayout>
                  <c:x val="0"/>
                  <c:y val="-3.938945568308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39F-4851-A9F6-10ABCC0E3181}"/>
                </c:ext>
              </c:extLst>
            </c:dLbl>
            <c:dLbl>
              <c:idx val="5"/>
              <c:layout>
                <c:manualLayout>
                  <c:x val="0"/>
                  <c:y val="-5.16986605840456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39F-4851-A9F6-10ABCC0E3181}"/>
                </c:ext>
              </c:extLst>
            </c:dLbl>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PROJEKTPARAMETER!$C$14:$H$14</c:f>
              <c:strCache>
                <c:ptCount val="6"/>
                <c:pt idx="0">
                  <c:v>GENERAL PARTNER</c:v>
                </c:pt>
                <c:pt idx="1">
                  <c:v>BUSINESS</c:v>
                </c:pt>
                <c:pt idx="2">
                  <c:v>DEFENSE LITIGATOR</c:v>
                </c:pt>
                <c:pt idx="3">
                  <c:v>INTELLECTUAL PROP.</c:v>
                </c:pt>
                <c:pt idx="4">
                  <c:v>BANKRUPTCY</c:v>
                </c:pt>
                <c:pt idx="5">
                  <c:v>ADMIN STAFF</c:v>
                </c:pt>
              </c:strCache>
            </c:strRef>
          </c:cat>
          <c:val>
            <c:numRef>
              <c:f>PROJEKTPARAMETER!$C$17:$H$17</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0-0F16-4B3D-BA50-9FA94006C8CD}"/>
            </c:ext>
          </c:extLst>
        </c:ser>
        <c:ser>
          <c:idx val="1"/>
          <c:order val="1"/>
          <c:tx>
            <c:strRef>
              <c:f>PROJEKTPARAMETER!$B$18</c:f>
              <c:strCache>
                <c:ptCount val="1"/>
                <c:pt idx="0">
                  <c:v>ACTUAL HOURS</c:v>
                </c:pt>
              </c:strCache>
            </c:strRef>
          </c:tx>
          <c:spPr>
            <a:solidFill>
              <a:schemeClr val="accent5"/>
            </a:solidFill>
            <a:ln>
              <a:noFill/>
            </a:ln>
            <a:effectLst/>
          </c:spPr>
          <c:invertIfNegative val="0"/>
          <c:dLbls>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PROJEKTPARAMETER!$C$14:$H$14</c:f>
              <c:strCache>
                <c:ptCount val="6"/>
                <c:pt idx="0">
                  <c:v>GENERAL PARTNER</c:v>
                </c:pt>
                <c:pt idx="1">
                  <c:v>BUSINESS</c:v>
                </c:pt>
                <c:pt idx="2">
                  <c:v>DEFENSE LITIGATOR</c:v>
                </c:pt>
                <c:pt idx="3">
                  <c:v>INTELLECTUAL PROP.</c:v>
                </c:pt>
                <c:pt idx="4">
                  <c:v>BANKRUPTCY</c:v>
                </c:pt>
                <c:pt idx="5">
                  <c:v>ADMIN STAFF</c:v>
                </c:pt>
              </c:strCache>
            </c:strRef>
          </c:cat>
          <c:val>
            <c:numRef>
              <c:f>PROJEKTPARAMETER!$C$18:$H$18</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1-0F16-4B3D-BA50-9FA94006C8CD}"/>
            </c:ext>
          </c:extLst>
        </c:ser>
        <c:dLbls>
          <c:showLegendKey val="0"/>
          <c:showVal val="0"/>
          <c:showCatName val="0"/>
          <c:showSerName val="0"/>
          <c:showPercent val="0"/>
          <c:showBubbleSize val="0"/>
        </c:dLbls>
        <c:gapWidth val="199"/>
        <c:axId val="205854208"/>
        <c:axId val="205855744"/>
      </c:barChart>
      <c:catAx>
        <c:axId val="205854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tx1">
                    <a:lumMod val="65000"/>
                    <a:lumOff val="35000"/>
                  </a:schemeClr>
                </a:solidFill>
                <a:latin typeface="+mn-lt"/>
                <a:ea typeface="+mn-ea"/>
                <a:cs typeface="+mn-cs"/>
              </a:defRPr>
            </a:pPr>
            <a:endParaRPr lang="en-US"/>
          </a:p>
        </c:txPr>
        <c:crossAx val="205855744"/>
        <c:crosses val="autoZero"/>
        <c:auto val="1"/>
        <c:lblAlgn val="ctr"/>
        <c:lblOffset val="100"/>
        <c:noMultiLvlLbl val="0"/>
      </c:catAx>
      <c:valAx>
        <c:axId val="205855744"/>
        <c:scaling>
          <c:orientation val="minMax"/>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585420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[Update Project plan for law firms.xlsx]PROJEKTSUMMEN!PivotTableTotals</c:name>
    <c:fmtId val="4"/>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PROJEKTSUMMEN!$C$5</c:f>
              <c:strCache>
                <c:ptCount val="1"/>
                <c:pt idx="0">
                  <c:v>GENERALPARTNER</c:v>
                </c:pt>
              </c:strCache>
            </c:strRef>
          </c:tx>
          <c:spPr>
            <a:solidFill>
              <a:schemeClr val="accent1"/>
            </a:solidFill>
            <a:ln>
              <a:noFill/>
            </a:ln>
            <a:effectLst/>
          </c:spPr>
          <c:invertIfNegative val="0"/>
          <c:cat>
            <c:strRef>
              <c:f>PROJEKTSUMMEN!$B$6:$B$11</c:f>
              <c:strCache>
                <c:ptCount val="5"/>
                <c:pt idx="0">
                  <c:v>Projekt 1</c:v>
                </c:pt>
                <c:pt idx="1">
                  <c:v>Projekt 2</c:v>
                </c:pt>
                <c:pt idx="2">
                  <c:v>Projekt 3</c:v>
                </c:pt>
                <c:pt idx="3">
                  <c:v>Projekt 4</c:v>
                </c:pt>
                <c:pt idx="4">
                  <c:v>Projekt 5</c:v>
                </c:pt>
              </c:strCache>
            </c:strRef>
          </c:cat>
          <c:val>
            <c:numRef>
              <c:f>PROJEKTSUMMEN!$C$6:$C$11</c:f>
              <c:numCache>
                <c:formatCode>#,##0.00\ [$€-407]</c:formatCode>
                <c:ptCount val="5"/>
                <c:pt idx="0">
                  <c:v>7000</c:v>
                </c:pt>
                <c:pt idx="1">
                  <c:v>14000</c:v>
                </c:pt>
                <c:pt idx="2">
                  <c:v>35000</c:v>
                </c:pt>
                <c:pt idx="3">
                  <c:v>5250</c:v>
                </c:pt>
                <c:pt idx="4">
                  <c:v>17500</c:v>
                </c:pt>
              </c:numCache>
            </c:numRef>
          </c:val>
          <c:extLst>
            <c:ext xmlns:c16="http://schemas.microsoft.com/office/drawing/2014/chart" uri="{C3380CC4-5D6E-409C-BE32-E72D297353CC}">
              <c16:uniqueId val="{00000000-B460-4BAA-B31C-2B1BE94165FF}"/>
            </c:ext>
          </c:extLst>
        </c:ser>
        <c:ser>
          <c:idx val="1"/>
          <c:order val="1"/>
          <c:tx>
            <c:strRef>
              <c:f>PROJEKTSUMMEN!$D$5</c:f>
              <c:strCache>
                <c:ptCount val="1"/>
                <c:pt idx="0">
                  <c:v>GESCHÄFT</c:v>
                </c:pt>
              </c:strCache>
            </c:strRef>
          </c:tx>
          <c:spPr>
            <a:solidFill>
              <a:schemeClr val="accent2"/>
            </a:solidFill>
            <a:ln>
              <a:noFill/>
            </a:ln>
            <a:effectLst/>
          </c:spPr>
          <c:invertIfNegative val="0"/>
          <c:cat>
            <c:strRef>
              <c:f>PROJEKTSUMMEN!$B$6:$B$11</c:f>
              <c:strCache>
                <c:ptCount val="5"/>
                <c:pt idx="0">
                  <c:v>Projekt 1</c:v>
                </c:pt>
                <c:pt idx="1">
                  <c:v>Projekt 2</c:v>
                </c:pt>
                <c:pt idx="2">
                  <c:v>Projekt 3</c:v>
                </c:pt>
                <c:pt idx="3">
                  <c:v>Projekt 4</c:v>
                </c:pt>
                <c:pt idx="4">
                  <c:v>Projekt 5</c:v>
                </c:pt>
              </c:strCache>
            </c:strRef>
          </c:cat>
          <c:val>
            <c:numRef>
              <c:f>PROJEKTSUMMEN!$D$6:$D$11</c:f>
              <c:numCache>
                <c:formatCode>#,##0.00\ [$€-407]</c:formatCode>
                <c:ptCount val="5"/>
                <c:pt idx="0">
                  <c:v>20000</c:v>
                </c:pt>
                <c:pt idx="1">
                  <c:v>40000</c:v>
                </c:pt>
                <c:pt idx="2">
                  <c:v>0</c:v>
                </c:pt>
                <c:pt idx="3">
                  <c:v>0</c:v>
                </c:pt>
                <c:pt idx="4">
                  <c:v>6250</c:v>
                </c:pt>
              </c:numCache>
            </c:numRef>
          </c:val>
          <c:extLst>
            <c:ext xmlns:c16="http://schemas.microsoft.com/office/drawing/2014/chart" uri="{C3380CC4-5D6E-409C-BE32-E72D297353CC}">
              <c16:uniqueId val="{00000001-B460-4BAA-B31C-2B1BE94165FF}"/>
            </c:ext>
          </c:extLst>
        </c:ser>
        <c:ser>
          <c:idx val="2"/>
          <c:order val="2"/>
          <c:tx>
            <c:strRef>
              <c:f>PROJEKTSUMMEN!$E$5</c:f>
              <c:strCache>
                <c:ptCount val="1"/>
                <c:pt idx="0">
                  <c:v>VERTEIDIGUNGSANWALT</c:v>
                </c:pt>
              </c:strCache>
            </c:strRef>
          </c:tx>
          <c:spPr>
            <a:solidFill>
              <a:schemeClr val="accent3"/>
            </a:solidFill>
            <a:ln>
              <a:noFill/>
            </a:ln>
            <a:effectLst/>
          </c:spPr>
          <c:invertIfNegative val="0"/>
          <c:cat>
            <c:strRef>
              <c:f>PROJEKTSUMMEN!$B$6:$B$11</c:f>
              <c:strCache>
                <c:ptCount val="5"/>
                <c:pt idx="0">
                  <c:v>Projekt 1</c:v>
                </c:pt>
                <c:pt idx="1">
                  <c:v>Projekt 2</c:v>
                </c:pt>
                <c:pt idx="2">
                  <c:v>Projekt 3</c:v>
                </c:pt>
                <c:pt idx="3">
                  <c:v>Projekt 4</c:v>
                </c:pt>
                <c:pt idx="4">
                  <c:v>Projekt 5</c:v>
                </c:pt>
              </c:strCache>
            </c:strRef>
          </c:cat>
          <c:val>
            <c:numRef>
              <c:f>PROJEKTSUMMEN!$E$6:$E$11</c:f>
              <c:numCache>
                <c:formatCode>#,##0.00\ [$€-407]</c:formatCode>
                <c:ptCount val="5"/>
                <c:pt idx="0">
                  <c:v>0</c:v>
                </c:pt>
                <c:pt idx="1">
                  <c:v>0</c:v>
                </c:pt>
                <c:pt idx="2">
                  <c:v>75000</c:v>
                </c:pt>
                <c:pt idx="3">
                  <c:v>0</c:v>
                </c:pt>
                <c:pt idx="4">
                  <c:v>30000</c:v>
                </c:pt>
              </c:numCache>
            </c:numRef>
          </c:val>
          <c:extLst>
            <c:ext xmlns:c16="http://schemas.microsoft.com/office/drawing/2014/chart" uri="{C3380CC4-5D6E-409C-BE32-E72D297353CC}">
              <c16:uniqueId val="{00000002-B460-4BAA-B31C-2B1BE94165FF}"/>
            </c:ext>
          </c:extLst>
        </c:ser>
        <c:ser>
          <c:idx val="3"/>
          <c:order val="3"/>
          <c:tx>
            <c:strRef>
              <c:f>PROJEKTSUMMEN!$F$5</c:f>
              <c:strCache>
                <c:ptCount val="1"/>
                <c:pt idx="0">
                  <c:v>GEISTIGES EIGENTUM</c:v>
                </c:pt>
              </c:strCache>
            </c:strRef>
          </c:tx>
          <c:spPr>
            <a:solidFill>
              <a:schemeClr val="accent4"/>
            </a:solidFill>
            <a:ln>
              <a:noFill/>
            </a:ln>
            <a:effectLst/>
          </c:spPr>
          <c:invertIfNegative val="0"/>
          <c:cat>
            <c:strRef>
              <c:f>PROJEKTSUMMEN!$B$6:$B$11</c:f>
              <c:strCache>
                <c:ptCount val="5"/>
                <c:pt idx="0">
                  <c:v>Projekt 1</c:v>
                </c:pt>
                <c:pt idx="1">
                  <c:v>Projekt 2</c:v>
                </c:pt>
                <c:pt idx="2">
                  <c:v>Projekt 3</c:v>
                </c:pt>
                <c:pt idx="3">
                  <c:v>Projekt 4</c:v>
                </c:pt>
                <c:pt idx="4">
                  <c:v>Projekt 5</c:v>
                </c:pt>
              </c:strCache>
            </c:strRef>
          </c:cat>
          <c:val>
            <c:numRef>
              <c:f>PROJEKTSUMMEN!$F$6:$F$11</c:f>
              <c:numCache>
                <c:formatCode>#,##0.00\ [$€-407]</c:formatCode>
                <c:ptCount val="5"/>
                <c:pt idx="0">
                  <c:v>0</c:v>
                </c:pt>
                <c:pt idx="1">
                  <c:v>11000</c:v>
                </c:pt>
                <c:pt idx="2">
                  <c:v>0</c:v>
                </c:pt>
                <c:pt idx="3">
                  <c:v>24750</c:v>
                </c:pt>
                <c:pt idx="4">
                  <c:v>0</c:v>
                </c:pt>
              </c:numCache>
            </c:numRef>
          </c:val>
          <c:extLst>
            <c:ext xmlns:c16="http://schemas.microsoft.com/office/drawing/2014/chart" uri="{C3380CC4-5D6E-409C-BE32-E72D297353CC}">
              <c16:uniqueId val="{00000003-B460-4BAA-B31C-2B1BE94165FF}"/>
            </c:ext>
          </c:extLst>
        </c:ser>
        <c:ser>
          <c:idx val="4"/>
          <c:order val="4"/>
          <c:tx>
            <c:strRef>
              <c:f>PROJEKTSUMMEN!$G$5</c:f>
              <c:strCache>
                <c:ptCount val="1"/>
                <c:pt idx="0">
                  <c:v>INSOLVENZ</c:v>
                </c:pt>
              </c:strCache>
            </c:strRef>
          </c:tx>
          <c:spPr>
            <a:solidFill>
              <a:schemeClr val="accent5"/>
            </a:solidFill>
            <a:ln>
              <a:noFill/>
            </a:ln>
            <a:effectLst/>
          </c:spPr>
          <c:invertIfNegative val="0"/>
          <c:cat>
            <c:strRef>
              <c:f>PROJEKTSUMMEN!$B$6:$B$11</c:f>
              <c:strCache>
                <c:ptCount val="5"/>
                <c:pt idx="0">
                  <c:v>Projekt 1</c:v>
                </c:pt>
                <c:pt idx="1">
                  <c:v>Projekt 2</c:v>
                </c:pt>
                <c:pt idx="2">
                  <c:v>Projekt 3</c:v>
                </c:pt>
                <c:pt idx="3">
                  <c:v>Projekt 4</c:v>
                </c:pt>
                <c:pt idx="4">
                  <c:v>Projekt 5</c:v>
                </c:pt>
              </c:strCache>
            </c:strRef>
          </c:cat>
          <c:val>
            <c:numRef>
              <c:f>PROJEKTSUMMEN!$G$6:$G$11</c:f>
              <c:numCache>
                <c:formatCode>#,##0.00\ [$€-407]</c:formatCode>
                <c:ptCount val="5"/>
                <c:pt idx="0">
                  <c:v>0</c:v>
                </c:pt>
                <c:pt idx="1">
                  <c:v>0</c:v>
                </c:pt>
                <c:pt idx="2">
                  <c:v>0</c:v>
                </c:pt>
                <c:pt idx="3">
                  <c:v>0</c:v>
                </c:pt>
                <c:pt idx="4">
                  <c:v>0</c:v>
                </c:pt>
              </c:numCache>
            </c:numRef>
          </c:val>
          <c:extLst>
            <c:ext xmlns:c16="http://schemas.microsoft.com/office/drawing/2014/chart" uri="{C3380CC4-5D6E-409C-BE32-E72D297353CC}">
              <c16:uniqueId val="{00000004-B460-4BAA-B31C-2B1BE94165FF}"/>
            </c:ext>
          </c:extLst>
        </c:ser>
        <c:ser>
          <c:idx val="5"/>
          <c:order val="5"/>
          <c:tx>
            <c:strRef>
              <c:f>PROJEKTSUMMEN!$H$5</c:f>
              <c:strCache>
                <c:ptCount val="1"/>
                <c:pt idx="0">
                  <c:v>VERWALTUNGSPERSONAL</c:v>
                </c:pt>
              </c:strCache>
            </c:strRef>
          </c:tx>
          <c:spPr>
            <a:solidFill>
              <a:schemeClr val="accent6"/>
            </a:solidFill>
            <a:ln>
              <a:noFill/>
            </a:ln>
            <a:effectLst/>
          </c:spPr>
          <c:invertIfNegative val="0"/>
          <c:cat>
            <c:strRef>
              <c:f>PROJEKTSUMMEN!$B$6:$B$11</c:f>
              <c:strCache>
                <c:ptCount val="5"/>
                <c:pt idx="0">
                  <c:v>Projekt 1</c:v>
                </c:pt>
                <c:pt idx="1">
                  <c:v>Projekt 2</c:v>
                </c:pt>
                <c:pt idx="2">
                  <c:v>Projekt 3</c:v>
                </c:pt>
                <c:pt idx="3">
                  <c:v>Projekt 4</c:v>
                </c:pt>
                <c:pt idx="4">
                  <c:v>Projekt 5</c:v>
                </c:pt>
              </c:strCache>
            </c:strRef>
          </c:cat>
          <c:val>
            <c:numRef>
              <c:f>PROJEKTSUMMEN!$H$6:$H$11</c:f>
              <c:numCache>
                <c:formatCode>#,##0.00\ [$€-407]</c:formatCode>
                <c:ptCount val="5"/>
                <c:pt idx="0">
                  <c:v>12500</c:v>
                </c:pt>
                <c:pt idx="1">
                  <c:v>20000</c:v>
                </c:pt>
                <c:pt idx="2">
                  <c:v>18750</c:v>
                </c:pt>
                <c:pt idx="3">
                  <c:v>5625</c:v>
                </c:pt>
                <c:pt idx="4">
                  <c:v>9375</c:v>
                </c:pt>
              </c:numCache>
            </c:numRef>
          </c:val>
          <c:extLst>
            <c:ext xmlns:c16="http://schemas.microsoft.com/office/drawing/2014/chart" uri="{C3380CC4-5D6E-409C-BE32-E72D297353CC}">
              <c16:uniqueId val="{00000005-B460-4BAA-B31C-2B1BE94165FF}"/>
            </c:ext>
          </c:extLst>
        </c:ser>
        <c:ser>
          <c:idx val="6"/>
          <c:order val="6"/>
          <c:tx>
            <c:strRef>
              <c:f>PROJEKTSUMMEN!$I$5</c:f>
              <c:strCache>
                <c:ptCount val="1"/>
                <c:pt idx="0">
                  <c:v>GENERAL PARTNER  </c:v>
                </c:pt>
              </c:strCache>
            </c:strRef>
          </c:tx>
          <c:spPr>
            <a:solidFill>
              <a:schemeClr val="accent1">
                <a:lumMod val="60000"/>
              </a:schemeClr>
            </a:solidFill>
            <a:ln>
              <a:noFill/>
            </a:ln>
            <a:effectLst/>
          </c:spPr>
          <c:invertIfNegative val="0"/>
          <c:cat>
            <c:strRef>
              <c:f>PROJEKTSUMMEN!$B$6:$B$11</c:f>
              <c:strCache>
                <c:ptCount val="5"/>
                <c:pt idx="0">
                  <c:v>Projekt 1</c:v>
                </c:pt>
                <c:pt idx="1">
                  <c:v>Projekt 2</c:v>
                </c:pt>
                <c:pt idx="2">
                  <c:v>Projekt 3</c:v>
                </c:pt>
                <c:pt idx="3">
                  <c:v>Projekt 4</c:v>
                </c:pt>
                <c:pt idx="4">
                  <c:v>Projekt 5</c:v>
                </c:pt>
              </c:strCache>
            </c:strRef>
          </c:cat>
          <c:val>
            <c:numRef>
              <c:f>PROJEKTSUMMEN!$I$6:$I$11</c:f>
              <c:numCache>
                <c:formatCode>#,##0.00\ [$€-407]</c:formatCode>
                <c:ptCount val="5"/>
                <c:pt idx="0">
                  <c:v>7700</c:v>
                </c:pt>
                <c:pt idx="1">
                  <c:v>13650</c:v>
                </c:pt>
                <c:pt idx="2">
                  <c:v>35000</c:v>
                </c:pt>
                <c:pt idx="3">
                  <c:v>5075</c:v>
                </c:pt>
                <c:pt idx="4">
                  <c:v>17850</c:v>
                </c:pt>
              </c:numCache>
            </c:numRef>
          </c:val>
          <c:extLst>
            <c:ext xmlns:c16="http://schemas.microsoft.com/office/drawing/2014/chart" uri="{C3380CC4-5D6E-409C-BE32-E72D297353CC}">
              <c16:uniqueId val="{00000006-B460-4BAA-B31C-2B1BE94165FF}"/>
            </c:ext>
          </c:extLst>
        </c:ser>
        <c:ser>
          <c:idx val="7"/>
          <c:order val="7"/>
          <c:tx>
            <c:strRef>
              <c:f>PROJEKTSUMMEN!$J$5</c:f>
              <c:strCache>
                <c:ptCount val="1"/>
                <c:pt idx="0">
                  <c:v>BUSINESS    </c:v>
                </c:pt>
              </c:strCache>
            </c:strRef>
          </c:tx>
          <c:spPr>
            <a:solidFill>
              <a:schemeClr val="accent2">
                <a:lumMod val="60000"/>
              </a:schemeClr>
            </a:solidFill>
            <a:ln>
              <a:noFill/>
            </a:ln>
            <a:effectLst/>
          </c:spPr>
          <c:invertIfNegative val="0"/>
          <c:cat>
            <c:strRef>
              <c:f>PROJEKTSUMMEN!$B$6:$B$11</c:f>
              <c:strCache>
                <c:ptCount val="5"/>
                <c:pt idx="0">
                  <c:v>Projekt 1</c:v>
                </c:pt>
                <c:pt idx="1">
                  <c:v>Projekt 2</c:v>
                </c:pt>
                <c:pt idx="2">
                  <c:v>Projekt 3</c:v>
                </c:pt>
                <c:pt idx="3">
                  <c:v>Projekt 4</c:v>
                </c:pt>
                <c:pt idx="4">
                  <c:v>Projekt 5</c:v>
                </c:pt>
              </c:strCache>
            </c:strRef>
          </c:cat>
          <c:val>
            <c:numRef>
              <c:f>PROJEKTSUMMEN!$J$6:$J$11</c:f>
              <c:numCache>
                <c:formatCode>#,##0.00\ [$€-407]</c:formatCode>
                <c:ptCount val="5"/>
                <c:pt idx="0">
                  <c:v>22000</c:v>
                </c:pt>
                <c:pt idx="1">
                  <c:v>39000</c:v>
                </c:pt>
                <c:pt idx="2">
                  <c:v>0</c:v>
                </c:pt>
                <c:pt idx="3">
                  <c:v>0</c:v>
                </c:pt>
                <c:pt idx="4">
                  <c:v>6375</c:v>
                </c:pt>
              </c:numCache>
            </c:numRef>
          </c:val>
          <c:extLst>
            <c:ext xmlns:c16="http://schemas.microsoft.com/office/drawing/2014/chart" uri="{C3380CC4-5D6E-409C-BE32-E72D297353CC}">
              <c16:uniqueId val="{00000007-B460-4BAA-B31C-2B1BE94165FF}"/>
            </c:ext>
          </c:extLst>
        </c:ser>
        <c:ser>
          <c:idx val="8"/>
          <c:order val="8"/>
          <c:tx>
            <c:strRef>
              <c:f>PROJEKTSUMMEN!$K$5</c:f>
              <c:strCache>
                <c:ptCount val="1"/>
                <c:pt idx="0">
                  <c:v>DEFENSE LITIGATOR  </c:v>
                </c:pt>
              </c:strCache>
            </c:strRef>
          </c:tx>
          <c:spPr>
            <a:solidFill>
              <a:schemeClr val="accent3">
                <a:lumMod val="60000"/>
              </a:schemeClr>
            </a:solidFill>
            <a:ln>
              <a:noFill/>
            </a:ln>
            <a:effectLst/>
          </c:spPr>
          <c:invertIfNegative val="0"/>
          <c:cat>
            <c:strRef>
              <c:f>PROJEKTSUMMEN!$B$6:$B$11</c:f>
              <c:strCache>
                <c:ptCount val="5"/>
                <c:pt idx="0">
                  <c:v>Projekt 1</c:v>
                </c:pt>
                <c:pt idx="1">
                  <c:v>Projekt 2</c:v>
                </c:pt>
                <c:pt idx="2">
                  <c:v>Projekt 3</c:v>
                </c:pt>
                <c:pt idx="3">
                  <c:v>Projekt 4</c:v>
                </c:pt>
                <c:pt idx="4">
                  <c:v>Projekt 5</c:v>
                </c:pt>
              </c:strCache>
            </c:strRef>
          </c:cat>
          <c:val>
            <c:numRef>
              <c:f>PROJEKTSUMMEN!$K$6:$K$11</c:f>
              <c:numCache>
                <c:formatCode>#,##0.00\ [$€-407]</c:formatCode>
                <c:ptCount val="5"/>
                <c:pt idx="0">
                  <c:v>0</c:v>
                </c:pt>
                <c:pt idx="1">
                  <c:v>0</c:v>
                </c:pt>
                <c:pt idx="2">
                  <c:v>75000</c:v>
                </c:pt>
                <c:pt idx="3">
                  <c:v>0</c:v>
                </c:pt>
                <c:pt idx="4">
                  <c:v>30600</c:v>
                </c:pt>
              </c:numCache>
            </c:numRef>
          </c:val>
          <c:extLst>
            <c:ext xmlns:c16="http://schemas.microsoft.com/office/drawing/2014/chart" uri="{C3380CC4-5D6E-409C-BE32-E72D297353CC}">
              <c16:uniqueId val="{00000008-B460-4BAA-B31C-2B1BE94165FF}"/>
            </c:ext>
          </c:extLst>
        </c:ser>
        <c:ser>
          <c:idx val="9"/>
          <c:order val="9"/>
          <c:tx>
            <c:strRef>
              <c:f>PROJEKTSUMMEN!$L$5</c:f>
              <c:strCache>
                <c:ptCount val="1"/>
                <c:pt idx="0">
                  <c:v>BANKRUPTCY  </c:v>
                </c:pt>
              </c:strCache>
            </c:strRef>
          </c:tx>
          <c:spPr>
            <a:solidFill>
              <a:schemeClr val="accent4">
                <a:lumMod val="60000"/>
              </a:schemeClr>
            </a:solidFill>
            <a:ln>
              <a:noFill/>
            </a:ln>
            <a:effectLst/>
          </c:spPr>
          <c:invertIfNegative val="0"/>
          <c:cat>
            <c:strRef>
              <c:f>PROJEKTSUMMEN!$B$6:$B$11</c:f>
              <c:strCache>
                <c:ptCount val="5"/>
                <c:pt idx="0">
                  <c:v>Projekt 1</c:v>
                </c:pt>
                <c:pt idx="1">
                  <c:v>Projekt 2</c:v>
                </c:pt>
                <c:pt idx="2">
                  <c:v>Projekt 3</c:v>
                </c:pt>
                <c:pt idx="3">
                  <c:v>Projekt 4</c:v>
                </c:pt>
                <c:pt idx="4">
                  <c:v>Projekt 5</c:v>
                </c:pt>
              </c:strCache>
            </c:strRef>
          </c:cat>
          <c:val>
            <c:numRef>
              <c:f>PROJEKTSUMMEN!$L$6:$L$11</c:f>
              <c:numCache>
                <c:formatCode>#,##0.00\ [$€-407]</c:formatCode>
                <c:ptCount val="5"/>
                <c:pt idx="0">
                  <c:v>0</c:v>
                </c:pt>
                <c:pt idx="1">
                  <c:v>0</c:v>
                </c:pt>
                <c:pt idx="2">
                  <c:v>0</c:v>
                </c:pt>
                <c:pt idx="3">
                  <c:v>0</c:v>
                </c:pt>
                <c:pt idx="4">
                  <c:v>0</c:v>
                </c:pt>
              </c:numCache>
            </c:numRef>
          </c:val>
          <c:extLst>
            <c:ext xmlns:c16="http://schemas.microsoft.com/office/drawing/2014/chart" uri="{C3380CC4-5D6E-409C-BE32-E72D297353CC}">
              <c16:uniqueId val="{00000009-B460-4BAA-B31C-2B1BE94165FF}"/>
            </c:ext>
          </c:extLst>
        </c:ser>
        <c:ser>
          <c:idx val="10"/>
          <c:order val="10"/>
          <c:tx>
            <c:strRef>
              <c:f>PROJEKTSUMMEN!$M$5</c:f>
              <c:strCache>
                <c:ptCount val="1"/>
                <c:pt idx="0">
                  <c:v>INTELLECTUAL PROPERTY  </c:v>
                </c:pt>
              </c:strCache>
            </c:strRef>
          </c:tx>
          <c:spPr>
            <a:solidFill>
              <a:schemeClr val="accent5">
                <a:lumMod val="60000"/>
              </a:schemeClr>
            </a:solidFill>
            <a:ln>
              <a:noFill/>
            </a:ln>
            <a:effectLst/>
          </c:spPr>
          <c:invertIfNegative val="0"/>
          <c:cat>
            <c:strRef>
              <c:f>PROJEKTSUMMEN!$B$6:$B$11</c:f>
              <c:strCache>
                <c:ptCount val="5"/>
                <c:pt idx="0">
                  <c:v>Projekt 1</c:v>
                </c:pt>
                <c:pt idx="1">
                  <c:v>Projekt 2</c:v>
                </c:pt>
                <c:pt idx="2">
                  <c:v>Projekt 3</c:v>
                </c:pt>
                <c:pt idx="3">
                  <c:v>Projekt 4</c:v>
                </c:pt>
                <c:pt idx="4">
                  <c:v>Projekt 5</c:v>
                </c:pt>
              </c:strCache>
            </c:strRef>
          </c:cat>
          <c:val>
            <c:numRef>
              <c:f>PROJEKTSUMMEN!$M$6:$M$11</c:f>
              <c:numCache>
                <c:formatCode>#,##0.00\ [$€-407]</c:formatCode>
                <c:ptCount val="5"/>
                <c:pt idx="0">
                  <c:v>0</c:v>
                </c:pt>
                <c:pt idx="1">
                  <c:v>10725</c:v>
                </c:pt>
                <c:pt idx="2">
                  <c:v>0</c:v>
                </c:pt>
                <c:pt idx="3">
                  <c:v>23925</c:v>
                </c:pt>
                <c:pt idx="4">
                  <c:v>0</c:v>
                </c:pt>
              </c:numCache>
            </c:numRef>
          </c:val>
          <c:extLst>
            <c:ext xmlns:c16="http://schemas.microsoft.com/office/drawing/2014/chart" uri="{C3380CC4-5D6E-409C-BE32-E72D297353CC}">
              <c16:uniqueId val="{0000000A-B460-4BAA-B31C-2B1BE94165FF}"/>
            </c:ext>
          </c:extLst>
        </c:ser>
        <c:ser>
          <c:idx val="11"/>
          <c:order val="11"/>
          <c:tx>
            <c:strRef>
              <c:f>PROJEKTSUMMEN!$N$5</c:f>
              <c:strCache>
                <c:ptCount val="1"/>
                <c:pt idx="0">
                  <c:v>ADMIN STAFF  </c:v>
                </c:pt>
              </c:strCache>
            </c:strRef>
          </c:tx>
          <c:spPr>
            <a:solidFill>
              <a:schemeClr val="accent6">
                <a:lumMod val="60000"/>
              </a:schemeClr>
            </a:solidFill>
            <a:ln>
              <a:noFill/>
            </a:ln>
            <a:effectLst/>
          </c:spPr>
          <c:invertIfNegative val="0"/>
          <c:cat>
            <c:strRef>
              <c:f>PROJEKTSUMMEN!$B$6:$B$11</c:f>
              <c:strCache>
                <c:ptCount val="5"/>
                <c:pt idx="0">
                  <c:v>Projekt 1</c:v>
                </c:pt>
                <c:pt idx="1">
                  <c:v>Projekt 2</c:v>
                </c:pt>
                <c:pt idx="2">
                  <c:v>Projekt 3</c:v>
                </c:pt>
                <c:pt idx="3">
                  <c:v>Projekt 4</c:v>
                </c:pt>
                <c:pt idx="4">
                  <c:v>Projekt 5</c:v>
                </c:pt>
              </c:strCache>
            </c:strRef>
          </c:cat>
          <c:val>
            <c:numRef>
              <c:f>PROJEKTSUMMEN!$N$6:$N$11</c:f>
              <c:numCache>
                <c:formatCode>#,##0.00\ [$€-407]</c:formatCode>
                <c:ptCount val="5"/>
                <c:pt idx="0">
                  <c:v>13750</c:v>
                </c:pt>
                <c:pt idx="1">
                  <c:v>19500</c:v>
                </c:pt>
                <c:pt idx="2">
                  <c:v>18750</c:v>
                </c:pt>
                <c:pt idx="3">
                  <c:v>5437.5</c:v>
                </c:pt>
                <c:pt idx="4">
                  <c:v>9562.5</c:v>
                </c:pt>
              </c:numCache>
            </c:numRef>
          </c:val>
          <c:extLst>
            <c:ext xmlns:c16="http://schemas.microsoft.com/office/drawing/2014/chart" uri="{C3380CC4-5D6E-409C-BE32-E72D297353CC}">
              <c16:uniqueId val="{0000000B-B460-4BAA-B31C-2B1BE94165FF}"/>
            </c:ext>
          </c:extLst>
        </c:ser>
        <c:dLbls>
          <c:showLegendKey val="0"/>
          <c:showVal val="0"/>
          <c:showCatName val="0"/>
          <c:showSerName val="0"/>
          <c:showPercent val="0"/>
          <c:showBubbleSize val="0"/>
        </c:dLbls>
        <c:gapWidth val="182"/>
        <c:axId val="833689776"/>
        <c:axId val="833719056"/>
      </c:barChart>
      <c:catAx>
        <c:axId val="83368977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3719056"/>
        <c:crosses val="autoZero"/>
        <c:auto val="1"/>
        <c:lblAlgn val="ctr"/>
        <c:lblOffset val="100"/>
        <c:noMultiLvlLbl val="0"/>
      </c:catAx>
      <c:valAx>
        <c:axId val="833719056"/>
        <c:scaling>
          <c:orientation val="minMax"/>
        </c:scaling>
        <c:delete val="0"/>
        <c:axPos val="b"/>
        <c:majorGridlines>
          <c:spPr>
            <a:ln w="9525" cap="flat" cmpd="sng" algn="ctr">
              <a:solidFill>
                <a:schemeClr val="tx1">
                  <a:lumMod val="15000"/>
                  <a:lumOff val="85000"/>
                </a:schemeClr>
              </a:solidFill>
              <a:round/>
            </a:ln>
            <a:effectLst/>
          </c:spPr>
        </c:majorGridlines>
        <c:numFmt formatCode="#,##0.00\ [$€-407]"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368977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12">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11</xdr:row>
      <xdr:rowOff>106135</xdr:rowOff>
    </xdr:from>
    <xdr:to>
      <xdr:col>3</xdr:col>
      <xdr:colOff>1646464</xdr:colOff>
      <xdr:row>41</xdr:row>
      <xdr:rowOff>8164</xdr:rowOff>
    </xdr:to>
    <xdr:graphicFrame macro="">
      <xdr:nvGraphicFramePr>
        <xdr:cNvPr id="7" name="Chart 6" descr="Column chart showing planned versus actual cost">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4</xdr:col>
      <xdr:colOff>304528</xdr:colOff>
      <xdr:row>11</xdr:row>
      <xdr:rowOff>112666</xdr:rowOff>
    </xdr:from>
    <xdr:to>
      <xdr:col>7</xdr:col>
      <xdr:colOff>210639</xdr:colOff>
      <xdr:row>41</xdr:row>
      <xdr:rowOff>13607</xdr:rowOff>
    </xdr:to>
    <xdr:graphicFrame macro="">
      <xdr:nvGraphicFramePr>
        <xdr:cNvPr id="8" name="Chart 7" descr="Column chart showing planned versus actual hours">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187233</xdr:colOff>
      <xdr:row>1</xdr:row>
      <xdr:rowOff>212271</xdr:rowOff>
    </xdr:from>
    <xdr:to>
      <xdr:col>18</xdr:col>
      <xdr:colOff>337456</xdr:colOff>
      <xdr:row>21</xdr:row>
      <xdr:rowOff>21771</xdr:rowOff>
    </xdr:to>
    <xdr:sp macro="" textlink="">
      <xdr:nvSpPr>
        <xdr:cNvPr id="2" name="Rectangle: Rounded Corners 1">
          <a:extLst>
            <a:ext uri="{FF2B5EF4-FFF2-40B4-BE49-F238E27FC236}">
              <a16:creationId xmlns:a16="http://schemas.microsoft.com/office/drawing/2014/main" id="{B014C0D9-4631-40B5-8995-67D41D47BD77}"/>
            </a:ext>
          </a:extLst>
        </xdr:cNvPr>
        <xdr:cNvSpPr/>
      </xdr:nvSpPr>
      <xdr:spPr>
        <a:xfrm>
          <a:off x="13402490" y="658585"/>
          <a:ext cx="5734595" cy="3575957"/>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MX" sz="1100" b="0" i="0">
              <a:solidFill>
                <a:schemeClr val="lt1"/>
              </a:solidFill>
              <a:effectLst/>
              <a:latin typeface="+mn-lt"/>
              <a:ea typeface="+mn-ea"/>
              <a:cs typeface="+mn-cs"/>
            </a:rPr>
            <a:t>ÜBER DIESE VORLAGE Verwendung </a:t>
          </a:r>
          <a:r>
            <a:rPr lang="en-US" sz="1100" b="0" i="0" u="none" strike="noStrike">
              <a:solidFill>
                <a:schemeClr val="lt1"/>
              </a:solidFill>
              <a:effectLst/>
              <a:latin typeface="+mn-lt"/>
              <a:ea typeface="+mn-ea"/>
              <a:cs typeface="+mn-cs"/>
            </a:rPr>
            <a:t> </a:t>
          </a:r>
        </a:p>
        <a:p>
          <a:pPr algn="l"/>
          <a:br>
            <a:rPr lang="es-MX" sz="1100" b="0" i="0">
              <a:solidFill>
                <a:schemeClr val="lt1"/>
              </a:solidFill>
              <a:effectLst/>
              <a:latin typeface="+mn-lt"/>
              <a:ea typeface="+mn-ea"/>
              <a:cs typeface="+mn-cs"/>
            </a:rPr>
          </a:br>
          <a:r>
            <a:rPr lang="es-MX" sz="1100" b="0" i="0">
              <a:solidFill>
                <a:schemeClr val="lt1"/>
              </a:solidFill>
              <a:effectLst/>
              <a:latin typeface="+mn-lt"/>
              <a:ea typeface="+mn-ea"/>
              <a:cs typeface="+mn-cs"/>
            </a:rPr>
            <a:t>dieses Arbeitsbuch verfolgt Projektparameter, Projektdetails und Projektsummen während der Projektplanung für Anwaltskanzleien. Füllen Sie den Firmennamen im Projektparameter-Arbeitsblatt aus, und es wird in anderen Arbeitsblättern automatisch aktualisiert. Geben Sie Informationen im Projektparameter-Arbeitsblatt ein, um Spaltendiagramme zu aktualisieren, und im Projektdetails-Arbeitsblatt. Die PivotTabelle im Projekttotalen-Arbeitsblatt wird automatisch aktualisiert</a:t>
          </a:r>
        </a:p>
        <a:p>
          <a:pPr algn="l"/>
          <a:r>
            <a:rPr lang="es-MX" sz="1100" b="0" i="0">
              <a:solidFill>
                <a:schemeClr val="lt1"/>
              </a:solidFill>
              <a:effectLst/>
              <a:latin typeface="+mn-lt"/>
              <a:ea typeface="+mn-ea"/>
              <a:cs typeface="+mn-cs"/>
            </a:rPr>
            <a:t>Hinweis: </a:t>
          </a:r>
          <a:r>
            <a:rPr lang="en-US" sz="1100" b="1" i="0" u="none" strike="noStrike">
              <a:solidFill>
                <a:schemeClr val="lt1"/>
              </a:solidFill>
              <a:effectLst/>
              <a:latin typeface="+mn-lt"/>
              <a:ea typeface="+mn-ea"/>
              <a:cs typeface="+mn-cs"/>
            </a:rPr>
            <a:t>  </a:t>
          </a:r>
        </a:p>
        <a:p>
          <a:pPr algn="l"/>
          <a:r>
            <a:rPr lang="en-US">
              <a:effectLst/>
            </a:rPr>
            <a:t> </a:t>
          </a:r>
          <a:r>
            <a:rPr lang="es-MX" sz="1100" b="0" i="0">
              <a:solidFill>
                <a:schemeClr val="lt1"/>
              </a:solidFill>
              <a:effectLst/>
              <a:latin typeface="+mn-lt"/>
              <a:ea typeface="+mn-ea"/>
              <a:cs typeface="+mn-cs"/>
            </a:rPr>
            <a:t>Zusätzliche Anweisungen sind in Spalte A jedes Arbeitsblatts enthalten. Dieser Text wurde absichtlich versteckt. Um Text zu entfernen, wählen Sie Spalte A und dann LÖSCHEN. Um den Text zu enttarnen, wähle Spalte A aus und ändere dann die Schriftfarbe. Um mehr über Tabellen in Arbeitsblättern zu erfahren, drücken Sie SHIFT und dann F10 innerhalb einer Tabelle, wählen Sie die Option TABLE und wählen Sie dann ALTERNATIVER TEXT. Für PivotTable im Project Totals-Arbeitsblatt drücken Sie SHIFT und dann F10 innerhalb der Tabelle, wählen Sie PIVOTTABLE OPTIONS und wählen Sie dann den Tab ALT TEXT.</a:t>
          </a:r>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121920</xdr:colOff>
      <xdr:row>2</xdr:row>
      <xdr:rowOff>274320</xdr:rowOff>
    </xdr:from>
    <xdr:to>
      <xdr:col>31</xdr:col>
      <xdr:colOff>396240</xdr:colOff>
      <xdr:row>14</xdr:row>
      <xdr:rowOff>22860</xdr:rowOff>
    </xdr:to>
    <xdr:sp macro="" textlink="">
      <xdr:nvSpPr>
        <xdr:cNvPr id="2" name="Arrow: Left 1">
          <a:extLst>
            <a:ext uri="{FF2B5EF4-FFF2-40B4-BE49-F238E27FC236}">
              <a16:creationId xmlns:a16="http://schemas.microsoft.com/office/drawing/2014/main" id="{592A1D3D-A9DC-4B04-B3D1-F5EF1AD39F3D}"/>
            </a:ext>
          </a:extLst>
        </xdr:cNvPr>
        <xdr:cNvSpPr/>
      </xdr:nvSpPr>
      <xdr:spPr>
        <a:xfrm>
          <a:off x="12786360" y="982980"/>
          <a:ext cx="4831080" cy="397002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en-US" sz="1100" b="1">
            <a:solidFill>
              <a:schemeClr val="lt1"/>
            </a:solidFill>
            <a:effectLst/>
            <a:latin typeface="+mn-lt"/>
            <a:ea typeface="+mn-ea"/>
            <a:cs typeface="+mn-cs"/>
          </a:endParaRPr>
        </a:p>
        <a:p>
          <a:r>
            <a:rPr lang="en-US" sz="1100" b="1">
              <a:solidFill>
                <a:schemeClr val="lt1"/>
              </a:solidFill>
              <a:effectLst/>
              <a:latin typeface="+mn-lt"/>
              <a:ea typeface="+mn-ea"/>
              <a:cs typeface="+mn-cs"/>
            </a:rPr>
            <a:t>INFO:</a:t>
          </a:r>
        </a:p>
        <a:p>
          <a:r>
            <a:rPr lang="es-MX" sz="1100" b="0" i="0">
              <a:solidFill>
                <a:schemeClr val="lt1"/>
              </a:solidFill>
              <a:effectLst/>
              <a:latin typeface="+mn-lt"/>
              <a:ea typeface="+mn-ea"/>
              <a:cs typeface="+mn-cs"/>
            </a:rPr>
            <a:t>Um eine Zeile hinzuzufügen, wähle die untere rechte Zelle im Hauptteil der Tabelle aus (nicht die Gesamtreihe) und drücke Tab, oder SHIFT und dann F10 in der Tabelle, wo du die Zeile eingefügt haben möchtest, und wähle Einfügen | Tabellenreihen ob/unten.</a:t>
          </a:r>
        </a:p>
        <a:p>
          <a:r>
            <a:rPr lang="es-MX" sz="1100" b="0" i="0">
              <a:solidFill>
                <a:schemeClr val="lt1"/>
              </a:solidFill>
              <a:effectLst/>
              <a:latin typeface="+mn-lt"/>
              <a:ea typeface="+mn-ea"/>
              <a:cs typeface="+mn-cs"/>
            </a:rPr>
            <a:t>Stellen Sie sicher, dass alle ungenutzten Zeilen gelöscht werden, da die PROJECT TOTALS-PivotTable alle Tabellenzellen verwendet und sonst fehlerhafte Ergebnisse liefern würde.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14</xdr:col>
      <xdr:colOff>167640</xdr:colOff>
      <xdr:row>2</xdr:row>
      <xdr:rowOff>129540</xdr:rowOff>
    </xdr:from>
    <xdr:to>
      <xdr:col>23</xdr:col>
      <xdr:colOff>93133</xdr:colOff>
      <xdr:row>9</xdr:row>
      <xdr:rowOff>175260</xdr:rowOff>
    </xdr:to>
    <xdr:sp macro="" textlink="">
      <xdr:nvSpPr>
        <xdr:cNvPr id="3" name="Arrow: Left 2">
          <a:extLst>
            <a:ext uri="{FF2B5EF4-FFF2-40B4-BE49-F238E27FC236}">
              <a16:creationId xmlns:a16="http://schemas.microsoft.com/office/drawing/2014/main" id="{BF370E50-7041-BF85-ED11-D57FD57231CC}"/>
            </a:ext>
          </a:extLst>
        </xdr:cNvPr>
        <xdr:cNvSpPr/>
      </xdr:nvSpPr>
      <xdr:spPr>
        <a:xfrm>
          <a:off x="15136707" y="840740"/>
          <a:ext cx="5124026" cy="271272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en-US" sz="1100" b="1">
            <a:solidFill>
              <a:schemeClr val="lt1"/>
            </a:solidFill>
            <a:effectLst/>
            <a:latin typeface="+mn-lt"/>
            <a:ea typeface="+mn-ea"/>
            <a:cs typeface="+mn-cs"/>
          </a:endParaRPr>
        </a:p>
        <a:p>
          <a:r>
            <a:rPr lang="en-US" sz="1100" b="1">
              <a:solidFill>
                <a:schemeClr val="lt1"/>
              </a:solidFill>
              <a:effectLst/>
              <a:latin typeface="+mn-lt"/>
              <a:ea typeface="+mn-ea"/>
              <a:cs typeface="+mn-cs"/>
            </a:rPr>
            <a:t>INFO</a:t>
          </a:r>
          <a:endParaRPr lang="en-US" b="1">
            <a:effectLst/>
          </a:endParaRPr>
        </a:p>
        <a:p>
          <a:pPr algn="l"/>
          <a:r>
            <a:rPr lang="es-MX" sz="1100" b="0" i="0">
              <a:solidFill>
                <a:schemeClr val="lt1"/>
              </a:solidFill>
              <a:effectLst/>
              <a:latin typeface="+mn-lt"/>
              <a:ea typeface="+mn-ea"/>
              <a:cs typeface="+mn-cs"/>
            </a:rPr>
            <a:t>Diese PivotTable wird nicht automatisch aktualisiert. Um sie zu aktualisieren, wählen Sie sie (jede beliebige Zelle innerhalb der PivotTabelle) in den PIVOTTABLE-TOOLS | ANALYSIEREN Ribbon-Tab Aktualisieren. Oder drücke SHIFT und dann F10 im PivotTable und wähle Aktualisieren. Um diesen Infotipp zu löschen, wählen Sie eine beliebige Kante aus und drücken Sie Löschen.</a:t>
          </a:r>
          <a:endParaRPr lang="en-US" sz="1100"/>
        </a:p>
      </xdr:txBody>
    </xdr:sp>
    <xdr:clientData/>
  </xdr:twoCellAnchor>
  <xdr:twoCellAnchor>
    <xdr:from>
      <xdr:col>0</xdr:col>
      <xdr:colOff>114300</xdr:colOff>
      <xdr:row>11</xdr:row>
      <xdr:rowOff>99060</xdr:rowOff>
    </xdr:from>
    <xdr:to>
      <xdr:col>14</xdr:col>
      <xdr:colOff>83820</xdr:colOff>
      <xdr:row>35</xdr:row>
      <xdr:rowOff>83820</xdr:rowOff>
    </xdr:to>
    <xdr:graphicFrame macro="">
      <xdr:nvGraphicFramePr>
        <xdr:cNvPr id="5" name="Chart 4">
          <a:extLst>
            <a:ext uri="{FF2B5EF4-FFF2-40B4-BE49-F238E27FC236}">
              <a16:creationId xmlns:a16="http://schemas.microsoft.com/office/drawing/2014/main" id="{FDC9B289-EAC5-7290-1DE7-C580715ECC6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lanning Wash Unit" refreshedDate="46025.461145254631" createdVersion="5" refreshedVersion="8" minRefreshableVersion="3" recordCount="5" xr:uid="{00000000-000A-0000-FFFF-FFFF00000000}">
  <cacheSource type="worksheet">
    <worksheetSource name="Details"/>
  </cacheSource>
  <cacheFields count="22">
    <cacheField name="PROJECT NAME" numFmtId="0">
      <sharedItems count="27">
        <s v="Project 1"/>
        <s v="Project 2"/>
        <s v="Project 3"/>
        <s v="Project 4"/>
        <s v="Project 5"/>
        <s v="A. Datum Corporation" u="1"/>
        <s v="School of Fine Art" u="1"/>
        <s v="Blue Yonder Airlines" u="1"/>
        <s v="City Power &amp; Light" u="1"/>
        <s v="Lucerne Publishing" u="1"/>
        <s v="Fourth Coffee" u="1"/>
        <s v="Contoso, Ltd." u="1"/>
        <s v="Contoso Pharmaceuticals" u="1"/>
        <s v="Coho Vineyard" u="1"/>
        <s v="Humongous Insurance" u="1"/>
        <s v="Adventure Works" u="1"/>
        <s v="Northwind Traders" u="1"/>
        <s v="Consolidated Messenger" u="1"/>
        <s v="Coho Vineyard &amp; Winery" u="1"/>
        <s v="Fabrikam, Inc." u="1"/>
        <s v="Margie's Travel" u="1"/>
        <s v="Proseware, Inc." u="1"/>
        <s v="Baldwin Museum of Science" u="1"/>
        <s v="Alpine Ski House" u="1"/>
        <s v="Graphic Design Institute" u="1"/>
        <s v="Litware, Inc." u="1"/>
        <s v="Coho Winery" u="1"/>
      </sharedItems>
    </cacheField>
    <cacheField name="PROJECT TYPE" numFmtId="0">
      <sharedItems/>
    </cacheField>
    <cacheField name="ESTIMATED START" numFmtId="14">
      <sharedItems containsSemiMixedTypes="0" containsNonDate="0" containsDate="1" containsString="0" minDate="2026-01-03T00:00:00" maxDate="2026-08-12T00:00:00"/>
    </cacheField>
    <cacheField name="ESTIMATED FINISH" numFmtId="14">
      <sharedItems containsSemiMixedTypes="0" containsNonDate="0" containsDate="1" containsString="0" minDate="2026-03-04T00:00:00" maxDate="2026-09-11T00:00:00"/>
    </cacheField>
    <cacheField name="ACTUAL START" numFmtId="14">
      <sharedItems containsSemiMixedTypes="0" containsNonDate="0" containsDate="1" containsString="0" minDate="2026-01-13T00:00:00" maxDate="2026-08-22T00:00:00"/>
    </cacheField>
    <cacheField name="ACTUAL FINISH" numFmtId="14">
      <sharedItems containsSemiMixedTypes="0" containsNonDate="0" containsDate="1" containsString="0" minDate="2026-03-09T00:00:00" maxDate="2026-09-20T00:00:00"/>
    </cacheField>
    <cacheField name="ESTIMATED WORK" numFmtId="0">
      <sharedItems containsSemiMixedTypes="0" containsString="0" containsNumber="1" containsInteger="1" minValue="150" maxValue="500"/>
    </cacheField>
    <cacheField name="ACTUAL WORK" numFmtId="0">
      <sharedItems containsSemiMixedTypes="0" containsString="0" containsNumber="1" containsInteger="1" minValue="145" maxValue="500"/>
    </cacheField>
    <cacheField name="ESTIMATED DURATION" numFmtId="0">
      <sharedItems containsSemiMixedTypes="0" containsString="0" containsNumber="1" containsInteger="1" minValue="0" maxValue="71"/>
    </cacheField>
    <cacheField name="ACTUAL DURATION" numFmtId="0">
      <sharedItems containsSemiMixedTypes="0" containsString="0" containsNumber="1" containsInteger="1" minValue="0" maxValue="71"/>
    </cacheField>
    <cacheField name="GENERAL PARTNER" numFmtId="164">
      <sharedItems containsSemiMixedTypes="0" containsString="0" containsNumber="1" containsInteger="1" minValue="5250" maxValue="35000"/>
    </cacheField>
    <cacheField name="BUSINESS LAWYER" numFmtId="164">
      <sharedItems containsSemiMixedTypes="0" containsString="0" containsNumber="1" containsInteger="1" minValue="0" maxValue="40000"/>
    </cacheField>
    <cacheField name="DEFENSE LITIGATOR" numFmtId="164">
      <sharedItems containsSemiMixedTypes="0" containsString="0" containsNumber="1" containsInteger="1" minValue="0" maxValue="75000"/>
    </cacheField>
    <cacheField name="INTELLECTUAL PROPERTY LAWYER" numFmtId="164">
      <sharedItems containsSemiMixedTypes="0" containsString="0" containsNumber="1" containsInteger="1" minValue="0" maxValue="24750"/>
    </cacheField>
    <cacheField name="BANKRUPTCY LAWYER" numFmtId="164">
      <sharedItems containsSemiMixedTypes="0" containsString="0" containsNumber="1" containsInteger="1" minValue="0" maxValue="0"/>
    </cacheField>
    <cacheField name="ADMIN STAFF" numFmtId="164">
      <sharedItems containsSemiMixedTypes="0" containsString="0" containsNumber="1" containsInteger="1" minValue="5625" maxValue="20000"/>
    </cacheField>
    <cacheField name="GENERAL PARTNER 2" numFmtId="164">
      <sharedItems containsSemiMixedTypes="0" containsString="0" containsNumber="1" containsInteger="1" minValue="5075" maxValue="35000"/>
    </cacheField>
    <cacheField name="BUSINESS LAWYER 2" numFmtId="164">
      <sharedItems containsSemiMixedTypes="0" containsString="0" containsNumber="1" containsInteger="1" minValue="0" maxValue="39000"/>
    </cacheField>
    <cacheField name="DEFENSE LITIGATOR 2" numFmtId="164">
      <sharedItems containsSemiMixedTypes="0" containsString="0" containsNumber="1" containsInteger="1" minValue="0" maxValue="75000"/>
    </cacheField>
    <cacheField name="INTELLECTUAL PROPERTY LAWYER 2" numFmtId="164">
      <sharedItems containsSemiMixedTypes="0" containsString="0" containsNumber="1" containsInteger="1" minValue="0" maxValue="23925"/>
    </cacheField>
    <cacheField name="BANKRUPTCY LAWYER 2" numFmtId="164">
      <sharedItems containsSemiMixedTypes="0" containsString="0" containsNumber="1" containsInteger="1" minValue="0" maxValue="0"/>
    </cacheField>
    <cacheField name="ADMIN STAFF 2" numFmtId="164">
      <sharedItems containsSemiMixedTypes="0" containsString="0" containsNumber="1" minValue="5437.5" maxValue="195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
  <r>
    <x v="0"/>
    <s v="Business Incorporation"/>
    <d v="2026-01-03T00:00:00"/>
    <d v="2026-03-04T00:00:00"/>
    <d v="2026-01-13T00:00:00"/>
    <d v="2026-03-09T00:00:00"/>
    <n v="200"/>
    <n v="220"/>
    <n v="61"/>
    <n v="56"/>
    <n v="7000"/>
    <n v="20000"/>
    <n v="0"/>
    <n v="0"/>
    <n v="0"/>
    <n v="12500"/>
    <n v="7700"/>
    <n v="22000"/>
    <n v="0"/>
    <n v="0"/>
    <n v="0"/>
    <n v="13750"/>
  </r>
  <r>
    <x v="1"/>
    <s v="Business Acquisition"/>
    <d v="2026-02-02T00:00:00"/>
    <d v="2026-04-13T00:00:00"/>
    <d v="2026-02-12T00:00:00"/>
    <d v="2026-04-23T00:00:00"/>
    <n v="400"/>
    <n v="390"/>
    <n v="71"/>
    <n v="71"/>
    <n v="14000"/>
    <n v="40000"/>
    <n v="0"/>
    <n v="11000"/>
    <n v="0"/>
    <n v="20000"/>
    <n v="13650"/>
    <n v="39000"/>
    <n v="0"/>
    <n v="10725"/>
    <n v="0"/>
    <n v="19500"/>
  </r>
  <r>
    <x v="2"/>
    <s v="Product Liability Defense"/>
    <d v="2026-06-02T00:00:00"/>
    <d v="2026-06-02T00:00:00"/>
    <d v="2026-06-02T00:00:00"/>
    <d v="2026-06-22T00:00:00"/>
    <n v="500"/>
    <n v="500"/>
    <n v="0"/>
    <n v="20"/>
    <n v="35000"/>
    <n v="0"/>
    <n v="75000"/>
    <n v="0"/>
    <n v="0"/>
    <n v="18750"/>
    <n v="35000"/>
    <n v="0"/>
    <n v="75000"/>
    <n v="0"/>
    <n v="0"/>
    <n v="18750"/>
  </r>
  <r>
    <x v="3"/>
    <s v="Patent Application"/>
    <d v="2026-07-22T00:00:00"/>
    <d v="2026-08-21T00:00:00"/>
    <d v="2026-08-21T00:00:00"/>
    <d v="2026-08-21T00:00:00"/>
    <n v="150"/>
    <n v="145"/>
    <n v="29"/>
    <n v="0"/>
    <n v="5250"/>
    <n v="0"/>
    <n v="0"/>
    <n v="24750"/>
    <n v="0"/>
    <n v="5625"/>
    <n v="5075"/>
    <n v="0"/>
    <n v="0"/>
    <n v="23925"/>
    <n v="0"/>
    <n v="5437.5"/>
  </r>
  <r>
    <x v="4"/>
    <s v="Employee Lawsuit"/>
    <d v="2026-08-11T00:00:00"/>
    <d v="2026-09-10T00:00:00"/>
    <d v="2026-08-21T00:00:00"/>
    <d v="2026-09-19T00:00:00"/>
    <n v="250"/>
    <n v="255"/>
    <n v="29"/>
    <n v="28"/>
    <n v="17500"/>
    <n v="6250"/>
    <n v="30000"/>
    <n v="0"/>
    <n v="0"/>
    <n v="9375"/>
    <n v="17850"/>
    <n v="6375"/>
    <n v="30600"/>
    <n v="0"/>
    <n v="0"/>
    <n v="9562.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PivotTableTotals" cacheId="0" applyNumberFormats="0" applyBorderFormats="0" applyFontFormats="0" applyPatternFormats="0" applyAlignmentFormats="0" applyWidthHeightFormats="1" dataCaption="Values" grandTotalCaption="Gesamtallgemein" updatedVersion="8" minRefreshableVersion="3" useAutoFormatting="1" itemPrintTitles="1" createdVersion="5" indent="0" compact="0" compactData="0" multipleFieldFilters="0" chartFormat="6">
  <location ref="B5:N11" firstHeaderRow="0" firstDataRow="1" firstDataCol="1"/>
  <pivotFields count="22">
    <pivotField name="PROJEKTNAME" axis="axisRow" compact="0" outline="0" showAll="0">
      <items count="28">
        <item m="1" x="5"/>
        <item m="1" x="15"/>
        <item m="1" x="23"/>
        <item m="1" x="22"/>
        <item m="1" x="7"/>
        <item m="1" x="8"/>
        <item m="1" x="13"/>
        <item m="1" x="18"/>
        <item m="1" x="26"/>
        <item m="1" x="17"/>
        <item m="1" x="12"/>
        <item m="1" x="11"/>
        <item m="1" x="19"/>
        <item m="1" x="10"/>
        <item m="1" x="24"/>
        <item m="1" x="14"/>
        <item m="1" x="25"/>
        <item m="1" x="9"/>
        <item m="1" x="20"/>
        <item m="1" x="16"/>
        <item m="1" x="21"/>
        <item m="1" x="6"/>
        <item n="Projekt 1" x="0"/>
        <item n="Projekt 2" x="1"/>
        <item n="Projekt 3" x="2"/>
        <item n="Projekt 4" x="3"/>
        <item n="Projekt 5" x="4"/>
        <item t="default"/>
      </items>
    </pivotField>
    <pivotField compact="0" outline="0" showAll="0"/>
    <pivotField compact="0" numFmtId="14" outline="0" showAll="0"/>
    <pivotField compact="0" numFmtId="14" outline="0" showAll="0"/>
    <pivotField compact="0" outline="0" showAll="0"/>
    <pivotField compact="0" outline="0" showAll="0"/>
    <pivotField compact="0" outline="0" showAll="0"/>
    <pivotField compact="0" outline="0" showAll="0"/>
    <pivotField compact="0" outline="0" showAll="0"/>
    <pivotField compact="0" outline="0" showAl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s>
  <rowFields count="1">
    <field x="0"/>
  </rowFields>
  <rowItems count="6">
    <i>
      <x v="22"/>
    </i>
    <i>
      <x v="23"/>
    </i>
    <i>
      <x v="24"/>
    </i>
    <i>
      <x v="25"/>
    </i>
    <i>
      <x v="26"/>
    </i>
    <i t="grand">
      <x/>
    </i>
  </rowItems>
  <colFields count="1">
    <field x="-2"/>
  </colFields>
  <colItems count="12">
    <i>
      <x/>
    </i>
    <i i="1">
      <x v="1"/>
    </i>
    <i i="2">
      <x v="2"/>
    </i>
    <i i="3">
      <x v="3"/>
    </i>
    <i i="4">
      <x v="4"/>
    </i>
    <i i="5">
      <x v="5"/>
    </i>
    <i i="6">
      <x v="6"/>
    </i>
    <i i="7">
      <x v="7"/>
    </i>
    <i i="8">
      <x v="8"/>
    </i>
    <i i="9">
      <x v="9"/>
    </i>
    <i i="10">
      <x v="10"/>
    </i>
    <i i="11">
      <x v="11"/>
    </i>
  </colItems>
  <dataFields count="12">
    <dataField name="GENERALPARTNER" fld="10" baseField="0" baseItem="10" numFmtId="165"/>
    <dataField name="GESCHÄFT" fld="11" baseField="0" baseItem="10" numFmtId="165"/>
    <dataField name="VERTEIDIGUNGSANWALT" fld="12" baseField="0" baseItem="10" numFmtId="165"/>
    <dataField name="GEISTIGES EIGENTUM" fld="13" baseField="0" baseItem="10" numFmtId="165"/>
    <dataField name="INSOLVENZ" fld="14" baseField="0" baseItem="10" numFmtId="165"/>
    <dataField name="VERWALTUNGSPERSONAL" fld="15" baseField="0" baseItem="10" numFmtId="165"/>
    <dataField name="GENERAL PARTNER  " fld="16" baseField="0" baseItem="3" numFmtId="165"/>
    <dataField name="BUSINESS    " fld="17" baseField="0" baseItem="10" numFmtId="165"/>
    <dataField name="DEFENSE LITIGATOR  " fld="18" baseField="0" baseItem="3" numFmtId="165"/>
    <dataField name="BANKRUPTCY  " fld="20" baseField="0" baseItem="10" numFmtId="165"/>
    <dataField name="INTELLECTUAL PROPERTY  " fld="19" baseField="0" baseItem="9" numFmtId="165"/>
    <dataField name="ADMIN STAFF  " fld="21" baseField="0" baseItem="10" numFmtId="165"/>
  </dataFields>
  <formats count="15">
    <format dxfId="0">
      <pivotArea outline="0" fieldPosition="0">
        <references count="1">
          <reference field="4294967294" count="1">
            <x v="0"/>
          </reference>
        </references>
      </pivotArea>
    </format>
    <format dxfId="1">
      <pivotArea outline="0" fieldPosition="0">
        <references count="1">
          <reference field="4294967294" count="1">
            <x v="1"/>
          </reference>
        </references>
      </pivotArea>
    </format>
    <format dxfId="2">
      <pivotArea outline="0" fieldPosition="0">
        <references count="1">
          <reference field="4294967294" count="1">
            <x v="2"/>
          </reference>
        </references>
      </pivotArea>
    </format>
    <format dxfId="3">
      <pivotArea outline="0" fieldPosition="0">
        <references count="1">
          <reference field="4294967294" count="1">
            <x v="3"/>
          </reference>
        </references>
      </pivotArea>
    </format>
    <format dxfId="4">
      <pivotArea outline="0" fieldPosition="0">
        <references count="1">
          <reference field="4294967294" count="1">
            <x v="4"/>
          </reference>
        </references>
      </pivotArea>
    </format>
    <format dxfId="5">
      <pivotArea dataOnly="0" labelOnly="1" outline="0" fieldPosition="0">
        <references count="1">
          <reference field="4294967294" count="6">
            <x v="0"/>
            <x v="1"/>
            <x v="2"/>
            <x v="3"/>
            <x v="4"/>
            <x v="5"/>
          </reference>
        </references>
      </pivotArea>
    </format>
    <format dxfId="6">
      <pivotArea outline="0" fieldPosition="0">
        <references count="1">
          <reference field="4294967294" count="1">
            <x v="6"/>
          </reference>
        </references>
      </pivotArea>
    </format>
    <format dxfId="7">
      <pivotArea outline="0" fieldPosition="0">
        <references count="1">
          <reference field="4294967294" count="1">
            <x v="7"/>
          </reference>
        </references>
      </pivotArea>
    </format>
    <format dxfId="8">
      <pivotArea outline="0" fieldPosition="0">
        <references count="1">
          <reference field="4294967294" count="1">
            <x v="8"/>
          </reference>
        </references>
      </pivotArea>
    </format>
    <format dxfId="9">
      <pivotArea outline="0" fieldPosition="0">
        <references count="1">
          <reference field="4294967294" count="1">
            <x v="9"/>
          </reference>
        </references>
      </pivotArea>
    </format>
    <format dxfId="10">
      <pivotArea outline="0" fieldPosition="0">
        <references count="1">
          <reference field="4294967294" count="1">
            <x v="11"/>
          </reference>
        </references>
      </pivotArea>
    </format>
    <format dxfId="11">
      <pivotArea outline="0" fieldPosition="0">
        <references count="1">
          <reference field="4294967294" count="1">
            <x v="10"/>
          </reference>
        </references>
      </pivotArea>
    </format>
    <format dxfId="12">
      <pivotArea dataOnly="0" labelOnly="1" outline="0" fieldPosition="0">
        <references count="1">
          <reference field="4294967294" count="6">
            <x v="6"/>
            <x v="7"/>
            <x v="8"/>
            <x v="9"/>
            <x v="10"/>
            <x v="11"/>
          </reference>
        </references>
      </pivotArea>
    </format>
    <format dxfId="13">
      <pivotArea field="0" type="button" dataOnly="0" labelOnly="1" outline="0" axis="axisRow" fieldPosition="0"/>
    </format>
    <format dxfId="14">
      <pivotArea outline="0" collapsedLevelsAreSubtotals="1" fieldPosition="0"/>
    </format>
  </formats>
  <chartFormats count="12">
    <chartFormat chart="4" format="0" series="1">
      <pivotArea type="data" outline="0" fieldPosition="0">
        <references count="1">
          <reference field="4294967294" count="1" selected="0">
            <x v="0"/>
          </reference>
        </references>
      </pivotArea>
    </chartFormat>
    <chartFormat chart="4" format="1" series="1">
      <pivotArea type="data" outline="0" fieldPosition="0">
        <references count="1">
          <reference field="4294967294" count="1" selected="0">
            <x v="1"/>
          </reference>
        </references>
      </pivotArea>
    </chartFormat>
    <chartFormat chart="4" format="2" series="1">
      <pivotArea type="data" outline="0" fieldPosition="0">
        <references count="1">
          <reference field="4294967294" count="1" selected="0">
            <x v="2"/>
          </reference>
        </references>
      </pivotArea>
    </chartFormat>
    <chartFormat chart="4" format="3" series="1">
      <pivotArea type="data" outline="0" fieldPosition="0">
        <references count="1">
          <reference field="4294967294" count="1" selected="0">
            <x v="3"/>
          </reference>
        </references>
      </pivotArea>
    </chartFormat>
    <chartFormat chart="4" format="4" series="1">
      <pivotArea type="data" outline="0" fieldPosition="0">
        <references count="1">
          <reference field="4294967294" count="1" selected="0">
            <x v="4"/>
          </reference>
        </references>
      </pivotArea>
    </chartFormat>
    <chartFormat chart="4" format="5" series="1">
      <pivotArea type="data" outline="0" fieldPosition="0">
        <references count="1">
          <reference field="4294967294" count="1" selected="0">
            <x v="5"/>
          </reference>
        </references>
      </pivotArea>
    </chartFormat>
    <chartFormat chart="4" format="6" series="1">
      <pivotArea type="data" outline="0" fieldPosition="0">
        <references count="1">
          <reference field="4294967294" count="1" selected="0">
            <x v="6"/>
          </reference>
        </references>
      </pivotArea>
    </chartFormat>
    <chartFormat chart="4" format="7" series="1">
      <pivotArea type="data" outline="0" fieldPosition="0">
        <references count="1">
          <reference field="4294967294" count="1" selected="0">
            <x v="7"/>
          </reference>
        </references>
      </pivotArea>
    </chartFormat>
    <chartFormat chart="4" format="8" series="1">
      <pivotArea type="data" outline="0" fieldPosition="0">
        <references count="1">
          <reference field="4294967294" count="1" selected="0">
            <x v="8"/>
          </reference>
        </references>
      </pivotArea>
    </chartFormat>
    <chartFormat chart="4" format="9" series="1">
      <pivotArea type="data" outline="0" fieldPosition="0">
        <references count="1">
          <reference field="4294967294" count="1" selected="0">
            <x v="9"/>
          </reference>
        </references>
      </pivotArea>
    </chartFormat>
    <chartFormat chart="4" format="10" series="1">
      <pivotArea type="data" outline="0" fieldPosition="0">
        <references count="1">
          <reference field="4294967294" count="1" selected="0">
            <x v="10"/>
          </reference>
        </references>
      </pivotArea>
    </chartFormat>
    <chartFormat chart="4" format="11" series="1">
      <pivotArea type="data" outline="0" fieldPosition="0">
        <references count="1">
          <reference field="4294967294" count="1" selected="0">
            <x v="11"/>
          </reference>
        </references>
      </pivotArea>
    </chartFormat>
  </chartFormats>
  <pivotTableStyleInfo name="PivotStyleMedium14" showRowHeaders="1" showColHeaders="1" showRowStripes="1" showColStripes="0" showLastColumn="1"/>
  <extLst>
    <ext xmlns:x14="http://schemas.microsoft.com/office/spreadsheetml/2009/9/main" uri="{962EF5D1-5CA2-4c93-8EF4-DBF5C05439D2}">
      <x14:pivotTableDefinition xmlns:xm="http://schemas.microsoft.com/office/excel/2006/main" altTextSummary="This PivotTable lists Project Names and calculated values for all items on PROJECT PARAMETERS worksheet, calculated by multiplying the hours duration on the PROJECT DETAILS worksheet"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arameters" displayName="Parameters" ref="B4:I10" totalsRowShown="0" headerRowDxfId="257" dataDxfId="256" headerRowCellStyle="Normal">
  <autoFilter ref="B4:I10"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00000000-0010-0000-0000-000001000000}" name="PROJEKTTYP" dataDxfId="255"/>
    <tableColumn id="2" xr3:uid="{00000000-0010-0000-0000-000002000000}" name="GENERALPARTNER" dataDxfId="254"/>
    <tableColumn id="3" xr3:uid="{00000000-0010-0000-0000-000003000000}" name="WIRTSCHAFTSANWALT" dataDxfId="253"/>
    <tableColumn id="4" xr3:uid="{00000000-0010-0000-0000-000004000000}" name="VERTEIDIGUNGSANWALT" dataDxfId="252"/>
    <tableColumn id="5" xr3:uid="{00000000-0010-0000-0000-000005000000}" name="GEISTIGER EIGENTUMSANWALT" dataDxfId="251"/>
    <tableColumn id="6" xr3:uid="{00000000-0010-0000-0000-000006000000}" name="INSOLVENZRECHTSANWALT" dataDxfId="250"/>
    <tableColumn id="7" xr3:uid="{00000000-0010-0000-0000-000007000000}" name="VERWALTUNGSPERSONAL" dataDxfId="249"/>
    <tableColumn id="8" xr3:uid="{00000000-0010-0000-0000-000008000000}" name="GESAMT" dataDxfId="248">
      <calculatedColumnFormula>SUM(Parameters[[#This Row],[GENERALPARTNER]:[VERWALTUNGSPERSONAL]])</calculatedColumnFormula>
    </tableColumn>
  </tableColumns>
  <tableStyleInfo name="TableStyleMedium20" showFirstColumn="0" showLastColumn="0" showRowStripes="1" showColumnStripes="0"/>
  <extLst>
    <ext xmlns:x14="http://schemas.microsoft.com/office/spreadsheetml/2009/9/main" uri="{504A1905-F514-4f6f-8877-14C23A59335A}">
      <x14:table altTextSummary="Enter Project Type, percentages for General Partner, Business Lawyer, Defense Litigator, Intellectual Property Lawyer, Bankruptcy Lawyer, and Admin Staff in this table. Total is auto calculated"/>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Details" displayName="Details" ref="B4:W10" totalsRowCount="1" headerRowDxfId="247" dataCellStyle="Normal">
  <autoFilter ref="B4:W9" xr:uid="{00000000-0009-0000-0100-000002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22">
    <tableColumn id="1" xr3:uid="{00000000-0010-0000-0100-000001000000}" name="PROJEKTNAME" totalsRowLabel="GESAMT" dataDxfId="246" totalsRowDxfId="224" dataCellStyle="Normal"/>
    <tableColumn id="2" xr3:uid="{00000000-0010-0000-0100-000002000000}" name="PROJEKTTYP" dataDxfId="245" totalsRowDxfId="223" dataCellStyle="Normal"/>
    <tableColumn id="3" xr3:uid="{00000000-0010-0000-0100-000003000000}" name="GESCHÄTZTER START" dataDxfId="228" totalsRowDxfId="222" dataCellStyle="Normal"/>
    <tableColumn id="4" xr3:uid="{00000000-0010-0000-0100-000004000000}" name="GESCHÄTZTES ERGEBNIS" dataDxfId="227" totalsRowDxfId="221" dataCellStyle="Normal"/>
    <tableColumn id="7" xr3:uid="{00000000-0010-0000-0100-000007000000}" name="EIGENTLICHER START" dataDxfId="226" totalsRowDxfId="220" dataCellStyle="Normal"/>
    <tableColumn id="8" xr3:uid="{00000000-0010-0000-0100-000008000000}" name="AKTUELLES ERGEBNIS" dataDxfId="225" totalsRowDxfId="219" dataCellStyle="Normal"/>
    <tableColumn id="5" xr3:uid="{00000000-0010-0000-0100-000005000000}" name="GESCHÄTZTE ARBEIT" totalsRowFunction="sum" dataDxfId="244" totalsRowDxfId="218" dataCellStyle="Normal"/>
    <tableColumn id="9" xr3:uid="{00000000-0010-0000-0100-000009000000}" name="TATSÄCHLICHE ARBEIT" totalsRowFunction="sum" dataDxfId="243" totalsRowDxfId="217" dataCellStyle="Normal"/>
    <tableColumn id="6" xr3:uid="{00000000-0010-0000-0100-000006000000}" name="GESCHÄTZTE DAUER" totalsRowFunction="sum" dataDxfId="242" totalsRowDxfId="216" dataCellStyle="Normal">
      <calculatedColumnFormula>DAYS360(Details[[#This Row],[GESCHÄTZTER START]],Details[[#This Row],[GESCHÄTZTES ERGEBNIS]],FALSE)</calculatedColumnFormula>
    </tableColumn>
    <tableColumn id="10" xr3:uid="{00000000-0010-0000-0100-00000A000000}" name="TATSÄCHLICHE DAUER" totalsRowFunction="sum" dataDxfId="241" totalsRowDxfId="215" dataCellStyle="Normal">
      <calculatedColumnFormula>DAYS360(Details[[#This Row],[EIGENTLICHER START]],Details[[#This Row],[AKTUELLES ERGEBNIS]],FALSE)</calculatedColumnFormula>
    </tableColumn>
    <tableColumn id="11" xr3:uid="{00000000-0010-0000-0100-00000B000000}" name="GENERAL PARTNER" dataDxfId="240" totalsRowDxfId="214" dataCellStyle="Normal">
      <calculatedColumnFormula>INDEX(Parameters[],MATCH(Details[[#This Row],[PROJEKTTYP]],Parameters[PROJEKTTYP],0),MATCH(Details[[#Headers],[GENERAL PARTNER]],Parameters[#Headers],0))*INDEX(PROJEKTPARAMETER!$B$11:$H$11,1,MATCH(Details[[#Headers],[GENERAL PARTNER]],Parameters[#Headers],0))*Details[[#This Row],[GESCHÄTZTE ARBEIT]]</calculatedColumnFormula>
    </tableColumn>
    <tableColumn id="12" xr3:uid="{00000000-0010-0000-0100-00000C000000}" name="BUSINESS LAWYER" dataDxfId="239" totalsRowDxfId="213" dataCellStyle="Normal">
      <calculatedColumnFormula>INDEX(Parameters[],MATCH(Details[[#This Row],[PROJEKTTYP]],Parameters[PROJEKTTYP],0),MATCH(Details[[#Headers],[BUSINESS LAWYER]],Parameters[#Headers],0))*INDEX(PROJEKTPARAMETER!$B$11:$H$11,1,MATCH(Details[[#Headers],[BUSINESS LAWYER]],Parameters[#Headers],0))*Details[[#This Row],[GESCHÄTZTE ARBEIT]]</calculatedColumnFormula>
    </tableColumn>
    <tableColumn id="13" xr3:uid="{00000000-0010-0000-0100-00000D000000}" name="DEFENSE LITIGATOR" dataDxfId="238" totalsRowDxfId="212" dataCellStyle="Normal">
      <calculatedColumnFormula>INDEX(Parameters[],MATCH(Details[[#This Row],[PROJEKTTYP]],Parameters[PROJEKTTYP],0),MATCH(Details[[#Headers],[DEFENSE LITIGATOR]],Parameters[#Headers],0))*INDEX(PROJEKTPARAMETER!$B$11:$H$11,1,MATCH(Details[[#Headers],[DEFENSE LITIGATOR]],Parameters[#Headers],0))*Details[[#This Row],[GESCHÄTZTE ARBEIT]]</calculatedColumnFormula>
    </tableColumn>
    <tableColumn id="14" xr3:uid="{00000000-0010-0000-0100-00000E000000}" name="INTELLECTUAL PROPERTY LAWYER" dataDxfId="237" totalsRowDxfId="211" dataCellStyle="Normal">
      <calculatedColumnFormula>INDEX(Parameters[],MATCH(Details[[#This Row],[PROJEKTTYP]],Parameters[PROJEKTTYP],0),MATCH(Details[[#Headers],[INTELLECTUAL PROPERTY LAWYER]],Parameters[#Headers],0))*INDEX(PROJEKTPARAMETER!$B$11:$H$11,1,MATCH(Details[[#Headers],[INTELLECTUAL PROPERTY LAWYER]],Parameters[#Headers],0))*Details[[#This Row],[GESCHÄTZTE ARBEIT]]</calculatedColumnFormula>
    </tableColumn>
    <tableColumn id="15" xr3:uid="{00000000-0010-0000-0100-00000F000000}" name="BANKRUPTCY LAWYER" dataDxfId="236" totalsRowDxfId="210" dataCellStyle="Normal">
      <calculatedColumnFormula>INDEX(Parameters[],MATCH(Details[[#This Row],[PROJEKTTYP]],Parameters[PROJEKTTYP],0),MATCH(Details[[#Headers],[BANKRUPTCY LAWYER]],Parameters[#Headers],0))*INDEX(PROJEKTPARAMETER!$B$11:$H$11,1,MATCH(Details[[#Headers],[BANKRUPTCY LAWYER]],Parameters[#Headers],0))*Details[[#This Row],[GESCHÄTZTE ARBEIT]]</calculatedColumnFormula>
    </tableColumn>
    <tableColumn id="16" xr3:uid="{00000000-0010-0000-0100-000010000000}" name="ADMIN STAFF" dataDxfId="235" totalsRowDxfId="209" dataCellStyle="Normal">
      <calculatedColumnFormula>INDEX(Parameters[],MATCH(Details[[#This Row],[PROJEKTTYP]],Parameters[PROJEKTTYP],0),MATCH(Details[[#Headers],[ADMIN STAFF]],Parameters[#Headers],0))*INDEX(PROJEKTPARAMETER!$B$11:$H$11,1,MATCH(Details[[#Headers],[ADMIN STAFF]],Parameters[#Headers],0))*Details[[#This Row],[GESCHÄTZTE ARBEIT]]</calculatedColumnFormula>
    </tableColumn>
    <tableColumn id="17" xr3:uid="{00000000-0010-0000-0100-000011000000}" name="GENERAL PARTNER 2" dataDxfId="234" totalsRowDxfId="208" dataCellStyle="Normal">
      <calculatedColumnFormula>INDEX(Parameters[],MATCH(Details[[#This Row],[PROJEKTTYP]],Parameters[PROJEKTTYP],0),MATCH(Details[[#Headers],[GENERAL PARTNER]],Parameters[#Headers],0))*INDEX(PROJEKTPARAMETER!$B$11:$H$11,1,MATCH(Details[[#Headers],[GENERAL PARTNER]],Parameters[#Headers],0))*Details[[#This Row],[TATSÄCHLICHE ARBEIT]]</calculatedColumnFormula>
    </tableColumn>
    <tableColumn id="18" xr3:uid="{00000000-0010-0000-0100-000012000000}" name="BUSINESS LAWYER 2" dataDxfId="233" totalsRowDxfId="207" dataCellStyle="Normal">
      <calculatedColumnFormula>INDEX(Parameters[],MATCH(Details[[#This Row],[PROJEKTTYP]],Parameters[PROJEKTTYP],0),MATCH(Details[[#Headers],[BUSINESS LAWYER]],Parameters[#Headers],0))*INDEX(PROJEKTPARAMETER!$B$11:$H$11,1,MATCH(Details[[#Headers],[BUSINESS LAWYER]],Parameters[#Headers],0))*Details[[#This Row],[TATSÄCHLICHE ARBEIT]]</calculatedColumnFormula>
    </tableColumn>
    <tableColumn id="19" xr3:uid="{00000000-0010-0000-0100-000013000000}" name="DEFENSE LITIGATOR 2" dataDxfId="232" totalsRowDxfId="206" dataCellStyle="Normal">
      <calculatedColumnFormula>INDEX(Parameters[],MATCH(Details[[#This Row],[PROJEKTTYP]],Parameters[PROJEKTTYP],0),MATCH(Details[[#Headers],[DEFENSE LITIGATOR]],Parameters[#Headers],0))*INDEX(PROJEKTPARAMETER!$B$11:$H$11,1,MATCH(Details[[#Headers],[DEFENSE LITIGATOR]],Parameters[#Headers],0))*Details[[#This Row],[TATSÄCHLICHE ARBEIT]]</calculatedColumnFormula>
    </tableColumn>
    <tableColumn id="20" xr3:uid="{00000000-0010-0000-0100-000014000000}" name="INTELLECTUAL PROPERTY LAWYER 2" dataDxfId="231" totalsRowDxfId="205" dataCellStyle="Normal">
      <calculatedColumnFormula>INDEX(Parameters[],MATCH(Details[[#This Row],[PROJEKTTYP]],Parameters[PROJEKTTYP],0),MATCH(Details[[#Headers],[INTELLECTUAL PROPERTY LAWYER]],Parameters[#Headers],0))*INDEX(PROJEKTPARAMETER!$B$11:$H$11,1,MATCH(Details[[#Headers],[INTELLECTUAL PROPERTY LAWYER]],Parameters[#Headers],0))*Details[[#This Row],[TATSÄCHLICHE ARBEIT]]</calculatedColumnFormula>
    </tableColumn>
    <tableColumn id="21" xr3:uid="{00000000-0010-0000-0100-000015000000}" name="BANKRUPTCY LAWYER 2" dataDxfId="230" totalsRowDxfId="204" dataCellStyle="Normal">
      <calculatedColumnFormula>INDEX(Parameters[],MATCH(Details[[#This Row],[PROJEKTTYP]],Parameters[PROJEKTTYP],0),MATCH(Details[[#Headers],[BANKRUPTCY LAWYER]],Parameters[#Headers],0))*INDEX(PROJEKTPARAMETER!$B$11:$H$11,1,MATCH(Details[[#Headers],[BANKRUPTCY LAWYER]],Parameters[#Headers],0))*Details[[#This Row],[TATSÄCHLICHE ARBEIT]]</calculatedColumnFormula>
    </tableColumn>
    <tableColumn id="22" xr3:uid="{00000000-0010-0000-0100-000016000000}" name="ADMIN STAFF 2" dataDxfId="229" totalsRowDxfId="203" dataCellStyle="Normal">
      <calculatedColumnFormula>INDEX(Parameters[],MATCH(Details[[#This Row],[PROJEKTTYP]],Parameters[PROJEKTTYP],0),MATCH(Details[[#Headers],[ADMIN STAFF]],Parameters[#Headers],0))*INDEX(PROJEKTPARAMETER!$B$11:$H$11,1,MATCH(Details[[#Headers],[ADMIN STAFF]],Parameters[#Headers],0))*Details[[#This Row],[TATSÄCHLICHE ARBEIT]]</calculatedColumnFormula>
    </tableColumn>
  </tableColumns>
  <tableStyleInfo name="TableStyleMedium10" showFirstColumn="0" showLastColumn="0" showRowStripes="1" showColumnStripes="0"/>
  <extLst>
    <ext xmlns:x14="http://schemas.microsoft.com/office/spreadsheetml/2009/9/main" uri="{504A1905-F514-4f6f-8877-14C23A59335A}">
      <x14:table altTextSummary="Enter Project Name, Estimated Start &amp; Finish dates, Actual Start &amp; Finish dates, and Estimated &amp; Actual Work in this table. Select Project Type. Estimated &amp; Actual Duration and Totals are auto calculated"/>
    </ext>
  </extLst>
</table>
</file>

<file path=xl/theme/theme1.xml><?xml version="1.0" encoding="utf-8"?>
<a:theme xmlns:a="http://schemas.openxmlformats.org/drawingml/2006/main" name="MarketingProjectPlan">
  <a:themeElements>
    <a:clrScheme name="MarketingProjectPlan_colors">
      <a:dk1>
        <a:srgbClr val="000000"/>
      </a:dk1>
      <a:lt1>
        <a:srgbClr val="FFFFFF"/>
      </a:lt1>
      <a:dk2>
        <a:srgbClr val="636466"/>
      </a:dk2>
      <a:lt2>
        <a:srgbClr val="F2F2F2"/>
      </a:lt2>
      <a:accent1>
        <a:srgbClr val="BE870E"/>
      </a:accent1>
      <a:accent2>
        <a:srgbClr val="1A86B6"/>
      </a:accent2>
      <a:accent3>
        <a:srgbClr val="5F781B"/>
      </a:accent3>
      <a:accent4>
        <a:srgbClr val="C45808"/>
      </a:accent4>
      <a:accent5>
        <a:srgbClr val="6B3489"/>
      </a:accent5>
      <a:accent6>
        <a:srgbClr val="C2344E"/>
      </a:accent6>
      <a:hlink>
        <a:srgbClr val="3778A9"/>
      </a:hlink>
      <a:folHlink>
        <a:srgbClr val="6B3489"/>
      </a:folHlink>
    </a:clrScheme>
    <a:fontScheme name="Invoice with Sales Tax">
      <a:majorFont>
        <a:latin typeface="Tahoma"/>
        <a:ea typeface=""/>
        <a:cs typeface=""/>
      </a:majorFont>
      <a:minorFont>
        <a:latin typeface="Cambria"/>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9"/>
    <pageSetUpPr autoPageBreaks="0" fitToPage="1"/>
  </sheetPr>
  <dimension ref="A1:I20"/>
  <sheetViews>
    <sheetView showGridLines="0" zoomScale="70" zoomScaleNormal="70" workbookViewId="0">
      <selection activeCell="G42" sqref="G42"/>
    </sheetView>
  </sheetViews>
  <sheetFormatPr baseColWidth="10" defaultColWidth="9.109375" defaultRowHeight="13.8" x14ac:dyDescent="0.25"/>
  <cols>
    <col min="1" max="1" width="1.88671875" style="10" customWidth="1"/>
    <col min="2" max="2" width="29.33203125" style="4" customWidth="1"/>
    <col min="3" max="3" width="21.44140625" style="4" bestFit="1" customWidth="1"/>
    <col min="4" max="6" width="24.44140625" style="4" customWidth="1"/>
    <col min="7" max="8" width="27.77734375" style="4" customWidth="1"/>
    <col min="9" max="9" width="11.109375" style="4" customWidth="1"/>
    <col min="10" max="16384" width="9.109375" style="4"/>
  </cols>
  <sheetData>
    <row r="1" spans="1:9" ht="35.4" customHeight="1" x14ac:dyDescent="0.25">
      <c r="A1" s="10" t="s">
        <v>25</v>
      </c>
      <c r="B1" s="20" t="s">
        <v>39</v>
      </c>
      <c r="C1" s="19"/>
      <c r="D1" s="19"/>
      <c r="E1" s="19"/>
      <c r="F1" s="19"/>
      <c r="G1" s="19"/>
      <c r="H1" s="19"/>
      <c r="I1" s="19"/>
    </row>
    <row r="2" spans="1:9" ht="20.399999999999999" x14ac:dyDescent="0.35">
      <c r="A2" s="10" t="s">
        <v>26</v>
      </c>
      <c r="B2" s="2" t="s">
        <v>40</v>
      </c>
      <c r="C2" s="2"/>
      <c r="D2" s="2"/>
      <c r="E2" s="2"/>
      <c r="F2" s="2"/>
      <c r="G2" s="2"/>
      <c r="H2" s="2"/>
      <c r="I2" s="2"/>
    </row>
    <row r="3" spans="1:9" ht="14.4" customHeight="1" x14ac:dyDescent="0.25">
      <c r="A3" s="10" t="s">
        <v>28</v>
      </c>
      <c r="B3" s="7"/>
    </row>
    <row r="4" spans="1:9" ht="26.4" x14ac:dyDescent="0.25">
      <c r="A4" s="10" t="s">
        <v>32</v>
      </c>
      <c r="B4" s="8" t="s">
        <v>41</v>
      </c>
      <c r="C4" s="8" t="s">
        <v>49</v>
      </c>
      <c r="D4" s="8" t="s">
        <v>50</v>
      </c>
      <c r="E4" s="8" t="s">
        <v>51</v>
      </c>
      <c r="F4" s="8" t="s">
        <v>52</v>
      </c>
      <c r="G4" s="8" t="s">
        <v>53</v>
      </c>
      <c r="H4" s="8" t="s">
        <v>54</v>
      </c>
      <c r="I4" s="8" t="s">
        <v>55</v>
      </c>
    </row>
    <row r="5" spans="1:9" x14ac:dyDescent="0.25">
      <c r="B5" s="1" t="s">
        <v>42</v>
      </c>
      <c r="C5" s="5">
        <v>0.1</v>
      </c>
      <c r="D5" s="5">
        <v>0.4</v>
      </c>
      <c r="E5" s="5">
        <v>0</v>
      </c>
      <c r="F5" s="5">
        <v>0</v>
      </c>
      <c r="G5" s="5">
        <v>0</v>
      </c>
      <c r="H5" s="5">
        <v>0.5</v>
      </c>
      <c r="I5" s="6">
        <f>SUM(Parameters[[#This Row],[GENERALPARTNER]:[VERWALTUNGSPERSONAL]])</f>
        <v>1</v>
      </c>
    </row>
    <row r="6" spans="1:9" x14ac:dyDescent="0.25">
      <c r="B6" s="1" t="s">
        <v>43</v>
      </c>
      <c r="C6" s="5">
        <v>0.1</v>
      </c>
      <c r="D6" s="5">
        <v>0.4</v>
      </c>
      <c r="E6" s="5">
        <v>0</v>
      </c>
      <c r="F6" s="5">
        <v>0.1</v>
      </c>
      <c r="G6" s="5">
        <v>0</v>
      </c>
      <c r="H6" s="5">
        <v>0.4</v>
      </c>
      <c r="I6" s="6">
        <f>SUM(Parameters[[#This Row],[GENERALPARTNER]:[VERWALTUNGSPERSONAL]])</f>
        <v>1</v>
      </c>
    </row>
    <row r="7" spans="1:9" x14ac:dyDescent="0.25">
      <c r="B7" s="1" t="s">
        <v>44</v>
      </c>
      <c r="C7" s="5">
        <v>0.2</v>
      </c>
      <c r="D7" s="5">
        <v>0</v>
      </c>
      <c r="E7" s="5">
        <v>0.5</v>
      </c>
      <c r="F7" s="5">
        <v>0</v>
      </c>
      <c r="G7" s="5">
        <v>0</v>
      </c>
      <c r="H7" s="5">
        <v>0.3</v>
      </c>
      <c r="I7" s="6">
        <f>SUM(Parameters[[#This Row],[GENERALPARTNER]:[VERWALTUNGSPERSONAL]])</f>
        <v>1</v>
      </c>
    </row>
    <row r="8" spans="1:9" x14ac:dyDescent="0.25">
      <c r="B8" s="1" t="s">
        <v>45</v>
      </c>
      <c r="C8" s="5">
        <v>0.1</v>
      </c>
      <c r="D8" s="5">
        <v>0</v>
      </c>
      <c r="E8" s="5">
        <v>0</v>
      </c>
      <c r="F8" s="5">
        <v>0.6</v>
      </c>
      <c r="G8" s="5">
        <v>0</v>
      </c>
      <c r="H8" s="5">
        <v>0.3</v>
      </c>
      <c r="I8" s="6">
        <f>SUM(Parameters[[#This Row],[GENERALPARTNER]:[VERWALTUNGSPERSONAL]])</f>
        <v>1</v>
      </c>
    </row>
    <row r="9" spans="1:9" x14ac:dyDescent="0.25">
      <c r="B9" s="1" t="s">
        <v>46</v>
      </c>
      <c r="C9" s="5">
        <v>0.2</v>
      </c>
      <c r="D9" s="5">
        <v>0.1</v>
      </c>
      <c r="E9" s="5">
        <v>0.4</v>
      </c>
      <c r="F9" s="5">
        <v>0</v>
      </c>
      <c r="G9" s="5">
        <v>0</v>
      </c>
      <c r="H9" s="5">
        <v>0.3</v>
      </c>
      <c r="I9" s="6">
        <f>SUM(Parameters[[#This Row],[GENERALPARTNER]:[VERWALTUNGSPERSONAL]])</f>
        <v>1</v>
      </c>
    </row>
    <row r="10" spans="1:9" x14ac:dyDescent="0.25">
      <c r="B10" s="1" t="s">
        <v>47</v>
      </c>
      <c r="C10" s="5">
        <v>0.1</v>
      </c>
      <c r="D10" s="5">
        <v>0.2</v>
      </c>
      <c r="E10" s="5">
        <v>0</v>
      </c>
      <c r="F10" s="5">
        <v>0</v>
      </c>
      <c r="G10" s="5">
        <v>0.4</v>
      </c>
      <c r="H10" s="5">
        <v>0.3</v>
      </c>
      <c r="I10" s="6">
        <f>SUM(Parameters[[#This Row],[GENERALPARTNER]:[VERWALTUNGSPERSONAL]])</f>
        <v>1</v>
      </c>
    </row>
    <row r="11" spans="1:9" ht="15" x14ac:dyDescent="0.25">
      <c r="A11" s="18" t="s">
        <v>33</v>
      </c>
      <c r="B11" s="28" t="s">
        <v>48</v>
      </c>
      <c r="C11" s="36">
        <v>350</v>
      </c>
      <c r="D11" s="36">
        <v>250</v>
      </c>
      <c r="E11" s="36">
        <v>300</v>
      </c>
      <c r="F11" s="36">
        <v>275</v>
      </c>
      <c r="G11" s="36">
        <v>225</v>
      </c>
      <c r="H11" s="36">
        <v>125</v>
      </c>
      <c r="I11" s="5"/>
    </row>
    <row r="13" spans="1:9" x14ac:dyDescent="0.25">
      <c r="A13" s="10" t="s">
        <v>34</v>
      </c>
      <c r="B13" s="10"/>
      <c r="C13" s="10"/>
      <c r="D13" s="10"/>
      <c r="E13" s="10"/>
      <c r="F13" s="10"/>
      <c r="G13" s="10"/>
      <c r="H13" s="10"/>
      <c r="I13" s="10"/>
    </row>
    <row r="14" spans="1:9" x14ac:dyDescent="0.25">
      <c r="B14" s="10"/>
      <c r="C14" s="10" t="s">
        <v>5</v>
      </c>
      <c r="D14" s="10" t="s">
        <v>22</v>
      </c>
      <c r="E14" s="10" t="s">
        <v>7</v>
      </c>
      <c r="F14" s="10" t="s">
        <v>23</v>
      </c>
      <c r="G14" s="10" t="s">
        <v>24</v>
      </c>
      <c r="H14" s="10" t="s">
        <v>0</v>
      </c>
      <c r="I14" s="10"/>
    </row>
    <row r="15" spans="1:9" x14ac:dyDescent="0.25">
      <c r="B15" s="10" t="s">
        <v>1</v>
      </c>
      <c r="C15" s="11" t="e">
        <f>SUBTOTAL(109,Details[GENERAL PARTNER])</f>
        <v>#N/A</v>
      </c>
      <c r="D15" s="11" t="e">
        <f>SUBTOTAL(109,Details[BUSINESS LAWYER])</f>
        <v>#N/A</v>
      </c>
      <c r="E15" s="11" t="e">
        <f>SUBTOTAL(109,Details[DEFENSE LITIGATOR])</f>
        <v>#N/A</v>
      </c>
      <c r="F15" s="11" t="e">
        <f>SUBTOTAL(109,Details[INTELLECTUAL PROPERTY LAWYER])</f>
        <v>#N/A</v>
      </c>
      <c r="G15" s="11" t="e">
        <f>SUBTOTAL(109,Details[BANKRUPTCY LAWYER])</f>
        <v>#N/A</v>
      </c>
      <c r="H15" s="11" t="e">
        <f>SUBTOTAL(109,Details[ADMIN STAFF])</f>
        <v>#N/A</v>
      </c>
      <c r="I15" s="10"/>
    </row>
    <row r="16" spans="1:9" x14ac:dyDescent="0.25">
      <c r="B16" s="10" t="s">
        <v>3</v>
      </c>
      <c r="C16" s="11" t="e">
        <f>SUBTOTAL(109,Details[GENERAL PARTNER 2])</f>
        <v>#N/A</v>
      </c>
      <c r="D16" s="11" t="e">
        <f>SUBTOTAL(109,Details[BUSINESS LAWYER 2])</f>
        <v>#N/A</v>
      </c>
      <c r="E16" s="11" t="e">
        <f>SUBTOTAL(109,Details[DEFENSE LITIGATOR 2])</f>
        <v>#N/A</v>
      </c>
      <c r="F16" s="11" t="e">
        <f>SUBTOTAL(109,Details[INTELLECTUAL PROPERTY LAWYER 2])</f>
        <v>#N/A</v>
      </c>
      <c r="G16" s="11" t="e">
        <f>SUBTOTAL(109,Details[BANKRUPTCY LAWYER 2])</f>
        <v>#N/A</v>
      </c>
      <c r="H16" s="11" t="e">
        <f>SUBTOTAL(109,Details[ADMIN STAFF 2])</f>
        <v>#N/A</v>
      </c>
      <c r="I16" s="10"/>
    </row>
    <row r="17" spans="2:9" x14ac:dyDescent="0.25">
      <c r="B17" s="10" t="s">
        <v>2</v>
      </c>
      <c r="C17" s="12" t="e">
        <f>C15/$C$11</f>
        <v>#N/A</v>
      </c>
      <c r="D17" s="12" t="e">
        <f t="shared" ref="D17:H17" si="0">D15/$C$11</f>
        <v>#N/A</v>
      </c>
      <c r="E17" s="12" t="e">
        <f t="shared" si="0"/>
        <v>#N/A</v>
      </c>
      <c r="F17" s="12" t="e">
        <f t="shared" si="0"/>
        <v>#N/A</v>
      </c>
      <c r="G17" s="12" t="e">
        <f t="shared" si="0"/>
        <v>#N/A</v>
      </c>
      <c r="H17" s="12" t="e">
        <f t="shared" si="0"/>
        <v>#N/A</v>
      </c>
      <c r="I17" s="10"/>
    </row>
    <row r="18" spans="2:9" x14ac:dyDescent="0.25">
      <c r="B18" s="10" t="s">
        <v>4</v>
      </c>
      <c r="C18" s="12" t="e">
        <f>C16/$C$11</f>
        <v>#N/A</v>
      </c>
      <c r="D18" s="12" t="e">
        <f>D16/$C$11</f>
        <v>#N/A</v>
      </c>
      <c r="E18" s="12" t="e">
        <f>E16/$C$11</f>
        <v>#N/A</v>
      </c>
      <c r="F18" s="12" t="e">
        <f>F16/$C$11</f>
        <v>#N/A</v>
      </c>
      <c r="G18" s="12" t="e">
        <f>G16/$C$11</f>
        <v>#N/A</v>
      </c>
      <c r="H18" s="12" t="e">
        <f>H16/$C$11</f>
        <v>#N/A</v>
      </c>
      <c r="I18" s="10"/>
    </row>
    <row r="19" spans="2:9" x14ac:dyDescent="0.25">
      <c r="B19" s="13"/>
      <c r="C19" s="13"/>
      <c r="D19" s="13"/>
      <c r="E19" s="13"/>
      <c r="F19" s="13"/>
      <c r="G19" s="13"/>
      <c r="H19" s="13"/>
      <c r="I19" s="13"/>
    </row>
    <row r="20" spans="2:9" x14ac:dyDescent="0.25">
      <c r="B20" s="13"/>
      <c r="C20" s="13"/>
      <c r="D20" s="13"/>
      <c r="E20" s="13"/>
      <c r="F20" s="13"/>
      <c r="G20" s="13"/>
      <c r="H20" s="13"/>
      <c r="I20" s="13"/>
    </row>
  </sheetData>
  <printOptions horizontalCentered="1"/>
  <pageMargins left="0.4" right="0.4" top="0.4" bottom="0.4" header="0.3" footer="0.3"/>
  <pageSetup scale="82" orientation="landscape" horizontalDpi="4294967293" verticalDpi="0"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5"/>
    <pageSetUpPr fitToPage="1"/>
  </sheetPr>
  <dimension ref="A1:AC10"/>
  <sheetViews>
    <sheetView showGridLines="0" topLeftCell="A2" workbookViewId="0">
      <selection activeCell="K11" sqref="K11"/>
    </sheetView>
  </sheetViews>
  <sheetFormatPr baseColWidth="10" defaultColWidth="9.109375" defaultRowHeight="13.8" x14ac:dyDescent="0.25"/>
  <cols>
    <col min="1" max="1" width="1.88671875" style="10" customWidth="1"/>
    <col min="2" max="2" width="25.5546875" style="1" customWidth="1"/>
    <col min="3" max="3" width="23.88671875" style="1" customWidth="1"/>
    <col min="4" max="11" width="16.6640625" style="1" customWidth="1"/>
    <col min="12" max="13" width="10" style="1" hidden="1" customWidth="1"/>
    <col min="14" max="14" width="10.33203125" style="1" hidden="1" customWidth="1"/>
    <col min="15" max="15" width="20.6640625" style="1" hidden="1" customWidth="1"/>
    <col min="16" max="16" width="14.88671875" style="1" hidden="1" customWidth="1"/>
    <col min="17" max="17" width="7.109375" style="1" hidden="1" customWidth="1"/>
    <col min="18" max="19" width="12.33203125" style="1" hidden="1" customWidth="1"/>
    <col min="20" max="20" width="12.5546875" style="1" hidden="1" customWidth="1"/>
    <col min="21" max="21" width="16.44140625" style="1" hidden="1" customWidth="1"/>
    <col min="22" max="22" width="14.5546875" style="1" hidden="1" customWidth="1"/>
    <col min="23" max="23" width="6.21875" style="1" hidden="1" customWidth="1"/>
    <col min="24" max="24" width="2.6640625" style="1" customWidth="1"/>
    <col min="25" max="16384" width="9.109375" style="1"/>
  </cols>
  <sheetData>
    <row r="1" spans="1:29" ht="35.4" customHeight="1" x14ac:dyDescent="0.25">
      <c r="A1" s="10" t="s">
        <v>29</v>
      </c>
      <c r="B1" s="22" t="str">
        <f>PROJEKTPARAMETER!B1</f>
        <v>Firmenname</v>
      </c>
      <c r="C1" s="22"/>
      <c r="D1" s="22"/>
      <c r="E1" s="22"/>
      <c r="F1" s="22"/>
      <c r="G1" s="22"/>
      <c r="H1" s="22"/>
      <c r="I1" s="22"/>
      <c r="J1" s="22"/>
      <c r="K1" s="22"/>
    </row>
    <row r="2" spans="1:29" ht="20.399999999999999" x14ac:dyDescent="0.35">
      <c r="A2" s="10" t="s">
        <v>35</v>
      </c>
      <c r="B2" s="2" t="str">
        <f>PROJEKTPARAMETER!B2</f>
        <v>Projektplanung für Anwaltskanzleien</v>
      </c>
      <c r="C2" s="2"/>
      <c r="D2" s="2"/>
      <c r="E2" s="2"/>
      <c r="F2" s="2"/>
      <c r="G2" s="2"/>
      <c r="H2" s="2"/>
      <c r="I2" s="2"/>
      <c r="J2" s="2"/>
      <c r="K2" s="2"/>
      <c r="Y2" s="29"/>
      <c r="Z2" s="30"/>
      <c r="AA2" s="30"/>
      <c r="AB2" s="30"/>
      <c r="AC2" s="30"/>
    </row>
    <row r="3" spans="1:29" s="17" customFormat="1" ht="29.25" customHeight="1" x14ac:dyDescent="0.25">
      <c r="A3" s="18" t="s">
        <v>27</v>
      </c>
      <c r="B3" s="16"/>
      <c r="C3" s="16"/>
      <c r="D3" s="16"/>
      <c r="E3" s="16"/>
      <c r="F3" s="16"/>
      <c r="G3" s="16"/>
      <c r="H3" s="16"/>
      <c r="I3" s="16"/>
      <c r="J3" s="16"/>
      <c r="K3" s="16"/>
      <c r="Y3" s="30"/>
      <c r="Z3" s="30"/>
      <c r="AA3" s="30"/>
      <c r="AB3" s="30"/>
      <c r="AC3" s="30"/>
    </row>
    <row r="4" spans="1:29" ht="39.6" x14ac:dyDescent="0.25">
      <c r="A4" s="18" t="s">
        <v>36</v>
      </c>
      <c r="B4" s="23" t="s">
        <v>56</v>
      </c>
      <c r="C4" s="23" t="s">
        <v>41</v>
      </c>
      <c r="D4" s="23" t="s">
        <v>62</v>
      </c>
      <c r="E4" s="23" t="s">
        <v>63</v>
      </c>
      <c r="F4" s="23" t="s">
        <v>64</v>
      </c>
      <c r="G4" s="23" t="s">
        <v>65</v>
      </c>
      <c r="H4" s="23" t="s">
        <v>66</v>
      </c>
      <c r="I4" s="23" t="s">
        <v>67</v>
      </c>
      <c r="J4" s="23" t="s">
        <v>68</v>
      </c>
      <c r="K4" s="23" t="s">
        <v>69</v>
      </c>
      <c r="L4" s="14" t="s">
        <v>5</v>
      </c>
      <c r="M4" s="14" t="s">
        <v>6</v>
      </c>
      <c r="N4" s="14" t="s">
        <v>7</v>
      </c>
      <c r="O4" s="14" t="s">
        <v>8</v>
      </c>
      <c r="P4" s="14" t="s">
        <v>9</v>
      </c>
      <c r="Q4" s="14" t="s">
        <v>0</v>
      </c>
      <c r="R4" s="15" t="s">
        <v>10</v>
      </c>
      <c r="S4" s="15" t="s">
        <v>11</v>
      </c>
      <c r="T4" s="15" t="s">
        <v>12</v>
      </c>
      <c r="U4" s="15" t="s">
        <v>18</v>
      </c>
      <c r="V4" s="15" t="s">
        <v>13</v>
      </c>
      <c r="W4" s="15" t="s">
        <v>14</v>
      </c>
      <c r="Y4" s="30"/>
      <c r="Z4" s="30"/>
      <c r="AA4" s="30"/>
      <c r="AB4" s="30"/>
      <c r="AC4" s="30"/>
    </row>
    <row r="5" spans="1:29" s="27" customFormat="1" ht="34.799999999999997" customHeight="1" x14ac:dyDescent="0.25">
      <c r="A5" s="24"/>
      <c r="B5" s="25" t="s">
        <v>57</v>
      </c>
      <c r="C5" s="25" t="s">
        <v>42</v>
      </c>
      <c r="D5" s="37">
        <f ca="1">TODAY()</f>
        <v>46026</v>
      </c>
      <c r="E5" s="37">
        <f ca="1">TODAY()+60</f>
        <v>46086</v>
      </c>
      <c r="F5" s="37">
        <f ca="1">TODAY()+10</f>
        <v>46036</v>
      </c>
      <c r="G5" s="37">
        <f ca="1">TODAY()+65</f>
        <v>46091</v>
      </c>
      <c r="H5" s="25">
        <v>200</v>
      </c>
      <c r="I5" s="25">
        <v>220</v>
      </c>
      <c r="J5" s="25">
        <f ca="1">DAYS360(Details[[#This Row],[GESCHÄTZTER START]],Details[[#This Row],[GESCHÄTZTES ERGEBNIS]],FALSE)</f>
        <v>61</v>
      </c>
      <c r="K5" s="25">
        <f ca="1">DAYS360(Details[[#This Row],[EIGENTLICHER START]],Details[[#This Row],[AKTUELLES ERGEBNIS]],FALSE)</f>
        <v>56</v>
      </c>
      <c r="L5" s="26" t="e">
        <f>INDEX(Parameters[],MATCH(Details[[#This Row],[PROJEKTTYP]],Parameters[PROJEKTTYP],0),MATCH(Details[[#Headers],[GENERAL PARTNER]],Parameters[#Headers],0))*INDEX(PROJEKTPARAMETER!$B$11:$H$11,1,MATCH(Details[[#Headers],[GENERAL PARTNER]],Parameters[#Headers],0))*Details[[#This Row],[GESCHÄTZTE ARBEIT]]</f>
        <v>#N/A</v>
      </c>
      <c r="M5" s="26" t="e">
        <f>INDEX(Parameters[],MATCH(Details[[#This Row],[PROJEKTTYP]],Parameters[PROJEKTTYP],0),MATCH(Details[[#Headers],[BUSINESS LAWYER]],Parameters[#Headers],0))*INDEX(PROJEKTPARAMETER!$B$11:$H$11,1,MATCH(Details[[#Headers],[BUSINESS LAWYER]],Parameters[#Headers],0))*Details[[#This Row],[GESCHÄTZTE ARBEIT]]</f>
        <v>#N/A</v>
      </c>
      <c r="N5" s="26" t="e">
        <f>INDEX(Parameters[],MATCH(Details[[#This Row],[PROJEKTTYP]],Parameters[PROJEKTTYP],0),MATCH(Details[[#Headers],[DEFENSE LITIGATOR]],Parameters[#Headers],0))*INDEX(PROJEKTPARAMETER!$B$11:$H$11,1,MATCH(Details[[#Headers],[DEFENSE LITIGATOR]],Parameters[#Headers],0))*Details[[#This Row],[GESCHÄTZTE ARBEIT]]</f>
        <v>#N/A</v>
      </c>
      <c r="O5" s="26" t="e">
        <f>INDEX(Parameters[],MATCH(Details[[#This Row],[PROJEKTTYP]],Parameters[PROJEKTTYP],0),MATCH(Details[[#Headers],[INTELLECTUAL PROPERTY LAWYER]],Parameters[#Headers],0))*INDEX(PROJEKTPARAMETER!$B$11:$H$11,1,MATCH(Details[[#Headers],[INTELLECTUAL PROPERTY LAWYER]],Parameters[#Headers],0))*Details[[#This Row],[GESCHÄTZTE ARBEIT]]</f>
        <v>#N/A</v>
      </c>
      <c r="P5" s="26" t="e">
        <f>INDEX(Parameters[],MATCH(Details[[#This Row],[PROJEKTTYP]],Parameters[PROJEKTTYP],0),MATCH(Details[[#Headers],[BANKRUPTCY LAWYER]],Parameters[#Headers],0))*INDEX(PROJEKTPARAMETER!$B$11:$H$11,1,MATCH(Details[[#Headers],[BANKRUPTCY LAWYER]],Parameters[#Headers],0))*Details[[#This Row],[GESCHÄTZTE ARBEIT]]</f>
        <v>#N/A</v>
      </c>
      <c r="Q5" s="26" t="e">
        <f>INDEX(Parameters[],MATCH(Details[[#This Row],[PROJEKTTYP]],Parameters[PROJEKTTYP],0),MATCH(Details[[#Headers],[ADMIN STAFF]],Parameters[#Headers],0))*INDEX(PROJEKTPARAMETER!$B$11:$H$11,1,MATCH(Details[[#Headers],[ADMIN STAFF]],Parameters[#Headers],0))*Details[[#This Row],[GESCHÄTZTE ARBEIT]]</f>
        <v>#N/A</v>
      </c>
      <c r="R5" s="26" t="e">
        <f>INDEX(Parameters[],MATCH(Details[[#This Row],[PROJEKTTYP]],Parameters[PROJEKTTYP],0),MATCH(Details[[#Headers],[GENERAL PARTNER]],Parameters[#Headers],0))*INDEX(PROJEKTPARAMETER!$B$11:$H$11,1,MATCH(Details[[#Headers],[GENERAL PARTNER]],Parameters[#Headers],0))*Details[[#This Row],[TATSÄCHLICHE ARBEIT]]</f>
        <v>#N/A</v>
      </c>
      <c r="S5" s="26" t="e">
        <f>INDEX(Parameters[],MATCH(Details[[#This Row],[PROJEKTTYP]],Parameters[PROJEKTTYP],0),MATCH(Details[[#Headers],[BUSINESS LAWYER]],Parameters[#Headers],0))*INDEX(PROJEKTPARAMETER!$B$11:$H$11,1,MATCH(Details[[#Headers],[BUSINESS LAWYER]],Parameters[#Headers],0))*Details[[#This Row],[TATSÄCHLICHE ARBEIT]]</f>
        <v>#N/A</v>
      </c>
      <c r="T5" s="26" t="e">
        <f>INDEX(Parameters[],MATCH(Details[[#This Row],[PROJEKTTYP]],Parameters[PROJEKTTYP],0),MATCH(Details[[#Headers],[DEFENSE LITIGATOR]],Parameters[#Headers],0))*INDEX(PROJEKTPARAMETER!$B$11:$H$11,1,MATCH(Details[[#Headers],[DEFENSE LITIGATOR]],Parameters[#Headers],0))*Details[[#This Row],[TATSÄCHLICHE ARBEIT]]</f>
        <v>#N/A</v>
      </c>
      <c r="U5" s="26" t="e">
        <f>INDEX(Parameters[],MATCH(Details[[#This Row],[PROJEKTTYP]],Parameters[PROJEKTTYP],0),MATCH(Details[[#Headers],[INTELLECTUAL PROPERTY LAWYER]],Parameters[#Headers],0))*INDEX(PROJEKTPARAMETER!$B$11:$H$11,1,MATCH(Details[[#Headers],[INTELLECTUAL PROPERTY LAWYER]],Parameters[#Headers],0))*Details[[#This Row],[TATSÄCHLICHE ARBEIT]]</f>
        <v>#N/A</v>
      </c>
      <c r="V5" s="26" t="e">
        <f>INDEX(Parameters[],MATCH(Details[[#This Row],[PROJEKTTYP]],Parameters[PROJEKTTYP],0),MATCH(Details[[#Headers],[BANKRUPTCY LAWYER]],Parameters[#Headers],0))*INDEX(PROJEKTPARAMETER!$B$11:$H$11,1,MATCH(Details[[#Headers],[BANKRUPTCY LAWYER]],Parameters[#Headers],0))*Details[[#This Row],[TATSÄCHLICHE ARBEIT]]</f>
        <v>#N/A</v>
      </c>
      <c r="W5" s="26" t="e">
        <f>INDEX(Parameters[],MATCH(Details[[#This Row],[PROJEKTTYP]],Parameters[PROJEKTTYP],0),MATCH(Details[[#Headers],[ADMIN STAFF]],Parameters[#Headers],0))*INDEX(PROJEKTPARAMETER!$B$11:$H$11,1,MATCH(Details[[#Headers],[ADMIN STAFF]],Parameters[#Headers],0))*Details[[#This Row],[TATSÄCHLICHE ARBEIT]]</f>
        <v>#N/A</v>
      </c>
      <c r="Y5" s="30"/>
      <c r="Z5" s="30"/>
      <c r="AA5" s="30"/>
      <c r="AB5" s="30"/>
      <c r="AC5" s="30"/>
    </row>
    <row r="6" spans="1:29" s="27" customFormat="1" ht="34.799999999999997" customHeight="1" x14ac:dyDescent="0.25">
      <c r="A6" s="24"/>
      <c r="B6" s="25" t="s">
        <v>58</v>
      </c>
      <c r="C6" s="25" t="s">
        <v>43</v>
      </c>
      <c r="D6" s="37">
        <f ca="1">TODAY()+30</f>
        <v>46056</v>
      </c>
      <c r="E6" s="37">
        <f ca="1">TODAY()+100</f>
        <v>46126</v>
      </c>
      <c r="F6" s="37">
        <f ca="1">TODAY()+40</f>
        <v>46066</v>
      </c>
      <c r="G6" s="37">
        <f ca="1">TODAY()+110</f>
        <v>46136</v>
      </c>
      <c r="H6" s="25">
        <v>400</v>
      </c>
      <c r="I6" s="25">
        <v>390</v>
      </c>
      <c r="J6" s="25">
        <f ca="1">DAYS360(Details[[#This Row],[GESCHÄTZTER START]],Details[[#This Row],[GESCHÄTZTES ERGEBNIS]],FALSE)</f>
        <v>71</v>
      </c>
      <c r="K6" s="25">
        <f ca="1">DAYS360(Details[[#This Row],[EIGENTLICHER START]],Details[[#This Row],[AKTUELLES ERGEBNIS]],FALSE)</f>
        <v>71</v>
      </c>
      <c r="L6" s="26" t="e">
        <f>INDEX(Parameters[],MATCH(Details[[#This Row],[PROJEKTTYP]],Parameters[PROJEKTTYP],0),MATCH(Details[[#Headers],[GENERAL PARTNER]],Parameters[#Headers],0))*INDEX(PROJEKTPARAMETER!$B$11:$H$11,1,MATCH(Details[[#Headers],[GENERAL PARTNER]],Parameters[#Headers],0))*Details[[#This Row],[GESCHÄTZTE ARBEIT]]</f>
        <v>#N/A</v>
      </c>
      <c r="M6" s="26" t="e">
        <f>INDEX(Parameters[],MATCH(Details[[#This Row],[PROJEKTTYP]],Parameters[PROJEKTTYP],0),MATCH(Details[[#Headers],[BUSINESS LAWYER]],Parameters[#Headers],0))*INDEX(PROJEKTPARAMETER!$B$11:$H$11,1,MATCH(Details[[#Headers],[BUSINESS LAWYER]],Parameters[#Headers],0))*Details[[#This Row],[GESCHÄTZTE ARBEIT]]</f>
        <v>#N/A</v>
      </c>
      <c r="N6" s="26" t="e">
        <f>INDEX(Parameters[],MATCH(Details[[#This Row],[PROJEKTTYP]],Parameters[PROJEKTTYP],0),MATCH(Details[[#Headers],[DEFENSE LITIGATOR]],Parameters[#Headers],0))*INDEX(PROJEKTPARAMETER!$B$11:$H$11,1,MATCH(Details[[#Headers],[DEFENSE LITIGATOR]],Parameters[#Headers],0))*Details[[#This Row],[GESCHÄTZTE ARBEIT]]</f>
        <v>#N/A</v>
      </c>
      <c r="O6" s="26" t="e">
        <f>INDEX(Parameters[],MATCH(Details[[#This Row],[PROJEKTTYP]],Parameters[PROJEKTTYP],0),MATCH(Details[[#Headers],[INTELLECTUAL PROPERTY LAWYER]],Parameters[#Headers],0))*INDEX(PROJEKTPARAMETER!$B$11:$H$11,1,MATCH(Details[[#Headers],[INTELLECTUAL PROPERTY LAWYER]],Parameters[#Headers],0))*Details[[#This Row],[GESCHÄTZTE ARBEIT]]</f>
        <v>#N/A</v>
      </c>
      <c r="P6" s="26" t="e">
        <f>INDEX(Parameters[],MATCH(Details[[#This Row],[PROJEKTTYP]],Parameters[PROJEKTTYP],0),MATCH(Details[[#Headers],[BANKRUPTCY LAWYER]],Parameters[#Headers],0))*INDEX(PROJEKTPARAMETER!$B$11:$H$11,1,MATCH(Details[[#Headers],[BANKRUPTCY LAWYER]],Parameters[#Headers],0))*Details[[#This Row],[GESCHÄTZTE ARBEIT]]</f>
        <v>#N/A</v>
      </c>
      <c r="Q6" s="26" t="e">
        <f>INDEX(Parameters[],MATCH(Details[[#This Row],[PROJEKTTYP]],Parameters[PROJEKTTYP],0),MATCH(Details[[#Headers],[ADMIN STAFF]],Parameters[#Headers],0))*INDEX(PROJEKTPARAMETER!$B$11:$H$11,1,MATCH(Details[[#Headers],[ADMIN STAFF]],Parameters[#Headers],0))*Details[[#This Row],[GESCHÄTZTE ARBEIT]]</f>
        <v>#N/A</v>
      </c>
      <c r="R6" s="26" t="e">
        <f>INDEX(Parameters[],MATCH(Details[[#This Row],[PROJEKTTYP]],Parameters[PROJEKTTYP],0),MATCH(Details[[#Headers],[GENERAL PARTNER]],Parameters[#Headers],0))*INDEX(PROJEKTPARAMETER!$B$11:$H$11,1,MATCH(Details[[#Headers],[GENERAL PARTNER]],Parameters[#Headers],0))*Details[[#This Row],[TATSÄCHLICHE ARBEIT]]</f>
        <v>#N/A</v>
      </c>
      <c r="S6" s="26" t="e">
        <f>INDEX(Parameters[],MATCH(Details[[#This Row],[PROJEKTTYP]],Parameters[PROJEKTTYP],0),MATCH(Details[[#Headers],[BUSINESS LAWYER]],Parameters[#Headers],0))*INDEX(PROJEKTPARAMETER!$B$11:$H$11,1,MATCH(Details[[#Headers],[BUSINESS LAWYER]],Parameters[#Headers],0))*Details[[#This Row],[TATSÄCHLICHE ARBEIT]]</f>
        <v>#N/A</v>
      </c>
      <c r="T6" s="26" t="e">
        <f>INDEX(Parameters[],MATCH(Details[[#This Row],[PROJEKTTYP]],Parameters[PROJEKTTYP],0),MATCH(Details[[#Headers],[DEFENSE LITIGATOR]],Parameters[#Headers],0))*INDEX(PROJEKTPARAMETER!$B$11:$H$11,1,MATCH(Details[[#Headers],[DEFENSE LITIGATOR]],Parameters[#Headers],0))*Details[[#This Row],[TATSÄCHLICHE ARBEIT]]</f>
        <v>#N/A</v>
      </c>
      <c r="U6" s="26" t="e">
        <f>INDEX(Parameters[],MATCH(Details[[#This Row],[PROJEKTTYP]],Parameters[PROJEKTTYP],0),MATCH(Details[[#Headers],[INTELLECTUAL PROPERTY LAWYER]],Parameters[#Headers],0))*INDEX(PROJEKTPARAMETER!$B$11:$H$11,1,MATCH(Details[[#Headers],[INTELLECTUAL PROPERTY LAWYER]],Parameters[#Headers],0))*Details[[#This Row],[TATSÄCHLICHE ARBEIT]]</f>
        <v>#N/A</v>
      </c>
      <c r="V6" s="26" t="e">
        <f>INDEX(Parameters[],MATCH(Details[[#This Row],[PROJEKTTYP]],Parameters[PROJEKTTYP],0),MATCH(Details[[#Headers],[BANKRUPTCY LAWYER]],Parameters[#Headers],0))*INDEX(PROJEKTPARAMETER!$B$11:$H$11,1,MATCH(Details[[#Headers],[BANKRUPTCY LAWYER]],Parameters[#Headers],0))*Details[[#This Row],[TATSÄCHLICHE ARBEIT]]</f>
        <v>#N/A</v>
      </c>
      <c r="W6" s="26" t="e">
        <f>INDEX(Parameters[],MATCH(Details[[#This Row],[PROJEKTTYP]],Parameters[PROJEKTTYP],0),MATCH(Details[[#Headers],[ADMIN STAFF]],Parameters[#Headers],0))*INDEX(PROJEKTPARAMETER!$B$11:$H$11,1,MATCH(Details[[#Headers],[ADMIN STAFF]],Parameters[#Headers],0))*Details[[#This Row],[TATSÄCHLICHE ARBEIT]]</f>
        <v>#N/A</v>
      </c>
      <c r="Y6" s="30"/>
      <c r="Z6" s="30"/>
      <c r="AA6" s="30"/>
      <c r="AB6" s="30"/>
      <c r="AC6" s="30"/>
    </row>
    <row r="7" spans="1:29" s="27" customFormat="1" ht="34.799999999999997" customHeight="1" x14ac:dyDescent="0.25">
      <c r="A7" s="24"/>
      <c r="B7" s="25" t="s">
        <v>59</v>
      </c>
      <c r="C7" s="25" t="s">
        <v>44</v>
      </c>
      <c r="D7" s="37">
        <f ca="1">TODAY()+150</f>
        <v>46176</v>
      </c>
      <c r="E7" s="37">
        <f ca="1">TODAY()+150</f>
        <v>46176</v>
      </c>
      <c r="F7" s="37">
        <f ca="1">TODAY()+150</f>
        <v>46176</v>
      </c>
      <c r="G7" s="37">
        <f ca="1">TODAY()+170</f>
        <v>46196</v>
      </c>
      <c r="H7" s="25">
        <v>500</v>
      </c>
      <c r="I7" s="25">
        <v>500</v>
      </c>
      <c r="J7" s="25">
        <f ca="1">DAYS360(Details[[#This Row],[GESCHÄTZTER START]],Details[[#This Row],[GESCHÄTZTES ERGEBNIS]],FALSE)</f>
        <v>0</v>
      </c>
      <c r="K7" s="25">
        <f ca="1">DAYS360(Details[[#This Row],[EIGENTLICHER START]],Details[[#This Row],[AKTUELLES ERGEBNIS]],FALSE)</f>
        <v>20</v>
      </c>
      <c r="L7" s="26" t="e">
        <f>INDEX(Parameters[],MATCH(Details[[#This Row],[PROJEKTTYP]],Parameters[PROJEKTTYP],0),MATCH(Details[[#Headers],[GENERAL PARTNER]],Parameters[#Headers],0))*INDEX(PROJEKTPARAMETER!$B$11:$H$11,1,MATCH(Details[[#Headers],[GENERAL PARTNER]],Parameters[#Headers],0))*Details[[#This Row],[GESCHÄTZTE ARBEIT]]</f>
        <v>#N/A</v>
      </c>
      <c r="M7" s="26" t="e">
        <f>INDEX(Parameters[],MATCH(Details[[#This Row],[PROJEKTTYP]],Parameters[PROJEKTTYP],0),MATCH(Details[[#Headers],[BUSINESS LAWYER]],Parameters[#Headers],0))*INDEX(PROJEKTPARAMETER!$B$11:$H$11,1,MATCH(Details[[#Headers],[BUSINESS LAWYER]],Parameters[#Headers],0))*Details[[#This Row],[GESCHÄTZTE ARBEIT]]</f>
        <v>#N/A</v>
      </c>
      <c r="N7" s="26" t="e">
        <f>INDEX(Parameters[],MATCH(Details[[#This Row],[PROJEKTTYP]],Parameters[PROJEKTTYP],0),MATCH(Details[[#Headers],[DEFENSE LITIGATOR]],Parameters[#Headers],0))*INDEX(PROJEKTPARAMETER!$B$11:$H$11,1,MATCH(Details[[#Headers],[DEFENSE LITIGATOR]],Parameters[#Headers],0))*Details[[#This Row],[GESCHÄTZTE ARBEIT]]</f>
        <v>#N/A</v>
      </c>
      <c r="O7" s="26" t="e">
        <f>INDEX(Parameters[],MATCH(Details[[#This Row],[PROJEKTTYP]],Parameters[PROJEKTTYP],0),MATCH(Details[[#Headers],[INTELLECTUAL PROPERTY LAWYER]],Parameters[#Headers],0))*INDEX(PROJEKTPARAMETER!$B$11:$H$11,1,MATCH(Details[[#Headers],[INTELLECTUAL PROPERTY LAWYER]],Parameters[#Headers],0))*Details[[#This Row],[GESCHÄTZTE ARBEIT]]</f>
        <v>#N/A</v>
      </c>
      <c r="P7" s="26" t="e">
        <f>INDEX(Parameters[],MATCH(Details[[#This Row],[PROJEKTTYP]],Parameters[PROJEKTTYP],0),MATCH(Details[[#Headers],[BANKRUPTCY LAWYER]],Parameters[#Headers],0))*INDEX(PROJEKTPARAMETER!$B$11:$H$11,1,MATCH(Details[[#Headers],[BANKRUPTCY LAWYER]],Parameters[#Headers],0))*Details[[#This Row],[GESCHÄTZTE ARBEIT]]</f>
        <v>#N/A</v>
      </c>
      <c r="Q7" s="26" t="e">
        <f>INDEX(Parameters[],MATCH(Details[[#This Row],[PROJEKTTYP]],Parameters[PROJEKTTYP],0),MATCH(Details[[#Headers],[ADMIN STAFF]],Parameters[#Headers],0))*INDEX(PROJEKTPARAMETER!$B$11:$H$11,1,MATCH(Details[[#Headers],[ADMIN STAFF]],Parameters[#Headers],0))*Details[[#This Row],[GESCHÄTZTE ARBEIT]]</f>
        <v>#N/A</v>
      </c>
      <c r="R7" s="26" t="e">
        <f>INDEX(Parameters[],MATCH(Details[[#This Row],[PROJEKTTYP]],Parameters[PROJEKTTYP],0),MATCH(Details[[#Headers],[GENERAL PARTNER]],Parameters[#Headers],0))*INDEX(PROJEKTPARAMETER!$B$11:$H$11,1,MATCH(Details[[#Headers],[GENERAL PARTNER]],Parameters[#Headers],0))*Details[[#This Row],[TATSÄCHLICHE ARBEIT]]</f>
        <v>#N/A</v>
      </c>
      <c r="S7" s="26" t="e">
        <f>INDEX(Parameters[],MATCH(Details[[#This Row],[PROJEKTTYP]],Parameters[PROJEKTTYP],0),MATCH(Details[[#Headers],[BUSINESS LAWYER]],Parameters[#Headers],0))*INDEX(PROJEKTPARAMETER!$B$11:$H$11,1,MATCH(Details[[#Headers],[BUSINESS LAWYER]],Parameters[#Headers],0))*Details[[#This Row],[TATSÄCHLICHE ARBEIT]]</f>
        <v>#N/A</v>
      </c>
      <c r="T7" s="26" t="e">
        <f>INDEX(Parameters[],MATCH(Details[[#This Row],[PROJEKTTYP]],Parameters[PROJEKTTYP],0),MATCH(Details[[#Headers],[DEFENSE LITIGATOR]],Parameters[#Headers],0))*INDEX(PROJEKTPARAMETER!$B$11:$H$11,1,MATCH(Details[[#Headers],[DEFENSE LITIGATOR]],Parameters[#Headers],0))*Details[[#This Row],[TATSÄCHLICHE ARBEIT]]</f>
        <v>#N/A</v>
      </c>
      <c r="U7" s="26" t="e">
        <f>INDEX(Parameters[],MATCH(Details[[#This Row],[PROJEKTTYP]],Parameters[PROJEKTTYP],0),MATCH(Details[[#Headers],[INTELLECTUAL PROPERTY LAWYER]],Parameters[#Headers],0))*INDEX(PROJEKTPARAMETER!$B$11:$H$11,1,MATCH(Details[[#Headers],[INTELLECTUAL PROPERTY LAWYER]],Parameters[#Headers],0))*Details[[#This Row],[TATSÄCHLICHE ARBEIT]]</f>
        <v>#N/A</v>
      </c>
      <c r="V7" s="26" t="e">
        <f>INDEX(Parameters[],MATCH(Details[[#This Row],[PROJEKTTYP]],Parameters[PROJEKTTYP],0),MATCH(Details[[#Headers],[BANKRUPTCY LAWYER]],Parameters[#Headers],0))*INDEX(PROJEKTPARAMETER!$B$11:$H$11,1,MATCH(Details[[#Headers],[BANKRUPTCY LAWYER]],Parameters[#Headers],0))*Details[[#This Row],[TATSÄCHLICHE ARBEIT]]</f>
        <v>#N/A</v>
      </c>
      <c r="W7" s="26" t="e">
        <f>INDEX(Parameters[],MATCH(Details[[#This Row],[PROJEKTTYP]],Parameters[PROJEKTTYP],0),MATCH(Details[[#Headers],[ADMIN STAFF]],Parameters[#Headers],0))*INDEX(PROJEKTPARAMETER!$B$11:$H$11,1,MATCH(Details[[#Headers],[ADMIN STAFF]],Parameters[#Headers],0))*Details[[#This Row],[TATSÄCHLICHE ARBEIT]]</f>
        <v>#N/A</v>
      </c>
      <c r="Y7" s="30"/>
      <c r="Z7" s="30"/>
      <c r="AA7" s="30"/>
      <c r="AB7" s="30"/>
      <c r="AC7" s="30"/>
    </row>
    <row r="8" spans="1:29" s="27" customFormat="1" ht="34.799999999999997" customHeight="1" x14ac:dyDescent="0.25">
      <c r="A8" s="24"/>
      <c r="B8" s="25" t="s">
        <v>60</v>
      </c>
      <c r="C8" s="25" t="s">
        <v>45</v>
      </c>
      <c r="D8" s="37">
        <f ca="1">TODAY()+200</f>
        <v>46226</v>
      </c>
      <c r="E8" s="37">
        <f ca="1">TODAY()+230</f>
        <v>46256</v>
      </c>
      <c r="F8" s="37">
        <f ca="1">TODAY()+230</f>
        <v>46256</v>
      </c>
      <c r="G8" s="37">
        <f ca="1">TODAY()+230</f>
        <v>46256</v>
      </c>
      <c r="H8" s="25">
        <v>150</v>
      </c>
      <c r="I8" s="25">
        <v>145</v>
      </c>
      <c r="J8" s="25">
        <f ca="1">DAYS360(Details[[#This Row],[GESCHÄTZTER START]],Details[[#This Row],[GESCHÄTZTES ERGEBNIS]],FALSE)</f>
        <v>29</v>
      </c>
      <c r="K8" s="25">
        <f ca="1">DAYS360(Details[[#This Row],[EIGENTLICHER START]],Details[[#This Row],[AKTUELLES ERGEBNIS]],FALSE)</f>
        <v>0</v>
      </c>
      <c r="L8" s="26" t="e">
        <f>INDEX(Parameters[],MATCH(Details[[#This Row],[PROJEKTTYP]],Parameters[PROJEKTTYP],0),MATCH(Details[[#Headers],[GENERAL PARTNER]],Parameters[#Headers],0))*INDEX(PROJEKTPARAMETER!$B$11:$H$11,1,MATCH(Details[[#Headers],[GENERAL PARTNER]],Parameters[#Headers],0))*Details[[#This Row],[GESCHÄTZTE ARBEIT]]</f>
        <v>#N/A</v>
      </c>
      <c r="M8" s="26" t="e">
        <f>INDEX(Parameters[],MATCH(Details[[#This Row],[PROJEKTTYP]],Parameters[PROJEKTTYP],0),MATCH(Details[[#Headers],[BUSINESS LAWYER]],Parameters[#Headers],0))*INDEX(PROJEKTPARAMETER!$B$11:$H$11,1,MATCH(Details[[#Headers],[BUSINESS LAWYER]],Parameters[#Headers],0))*Details[[#This Row],[GESCHÄTZTE ARBEIT]]</f>
        <v>#N/A</v>
      </c>
      <c r="N8" s="26" t="e">
        <f>INDEX(Parameters[],MATCH(Details[[#This Row],[PROJEKTTYP]],Parameters[PROJEKTTYP],0),MATCH(Details[[#Headers],[DEFENSE LITIGATOR]],Parameters[#Headers],0))*INDEX(PROJEKTPARAMETER!$B$11:$H$11,1,MATCH(Details[[#Headers],[DEFENSE LITIGATOR]],Parameters[#Headers],0))*Details[[#This Row],[GESCHÄTZTE ARBEIT]]</f>
        <v>#N/A</v>
      </c>
      <c r="O8" s="26" t="e">
        <f>INDEX(Parameters[],MATCH(Details[[#This Row],[PROJEKTTYP]],Parameters[PROJEKTTYP],0),MATCH(Details[[#Headers],[INTELLECTUAL PROPERTY LAWYER]],Parameters[#Headers],0))*INDEX(PROJEKTPARAMETER!$B$11:$H$11,1,MATCH(Details[[#Headers],[INTELLECTUAL PROPERTY LAWYER]],Parameters[#Headers],0))*Details[[#This Row],[GESCHÄTZTE ARBEIT]]</f>
        <v>#N/A</v>
      </c>
      <c r="P8" s="26" t="e">
        <f>INDEX(Parameters[],MATCH(Details[[#This Row],[PROJEKTTYP]],Parameters[PROJEKTTYP],0),MATCH(Details[[#Headers],[BANKRUPTCY LAWYER]],Parameters[#Headers],0))*INDEX(PROJEKTPARAMETER!$B$11:$H$11,1,MATCH(Details[[#Headers],[BANKRUPTCY LAWYER]],Parameters[#Headers],0))*Details[[#This Row],[GESCHÄTZTE ARBEIT]]</f>
        <v>#N/A</v>
      </c>
      <c r="Q8" s="26" t="e">
        <f>INDEX(Parameters[],MATCH(Details[[#This Row],[PROJEKTTYP]],Parameters[PROJEKTTYP],0),MATCH(Details[[#Headers],[ADMIN STAFF]],Parameters[#Headers],0))*INDEX(PROJEKTPARAMETER!$B$11:$H$11,1,MATCH(Details[[#Headers],[ADMIN STAFF]],Parameters[#Headers],0))*Details[[#This Row],[GESCHÄTZTE ARBEIT]]</f>
        <v>#N/A</v>
      </c>
      <c r="R8" s="26" t="e">
        <f>INDEX(Parameters[],MATCH(Details[[#This Row],[PROJEKTTYP]],Parameters[PROJEKTTYP],0),MATCH(Details[[#Headers],[GENERAL PARTNER]],Parameters[#Headers],0))*INDEX(PROJEKTPARAMETER!$B$11:$H$11,1,MATCH(Details[[#Headers],[GENERAL PARTNER]],Parameters[#Headers],0))*Details[[#This Row],[TATSÄCHLICHE ARBEIT]]</f>
        <v>#N/A</v>
      </c>
      <c r="S8" s="26" t="e">
        <f>INDEX(Parameters[],MATCH(Details[[#This Row],[PROJEKTTYP]],Parameters[PROJEKTTYP],0),MATCH(Details[[#Headers],[BUSINESS LAWYER]],Parameters[#Headers],0))*INDEX(PROJEKTPARAMETER!$B$11:$H$11,1,MATCH(Details[[#Headers],[BUSINESS LAWYER]],Parameters[#Headers],0))*Details[[#This Row],[TATSÄCHLICHE ARBEIT]]</f>
        <v>#N/A</v>
      </c>
      <c r="T8" s="26" t="e">
        <f>INDEX(Parameters[],MATCH(Details[[#This Row],[PROJEKTTYP]],Parameters[PROJEKTTYP],0),MATCH(Details[[#Headers],[DEFENSE LITIGATOR]],Parameters[#Headers],0))*INDEX(PROJEKTPARAMETER!$B$11:$H$11,1,MATCH(Details[[#Headers],[DEFENSE LITIGATOR]],Parameters[#Headers],0))*Details[[#This Row],[TATSÄCHLICHE ARBEIT]]</f>
        <v>#N/A</v>
      </c>
      <c r="U8" s="26" t="e">
        <f>INDEX(Parameters[],MATCH(Details[[#This Row],[PROJEKTTYP]],Parameters[PROJEKTTYP],0),MATCH(Details[[#Headers],[INTELLECTUAL PROPERTY LAWYER]],Parameters[#Headers],0))*INDEX(PROJEKTPARAMETER!$B$11:$H$11,1,MATCH(Details[[#Headers],[INTELLECTUAL PROPERTY LAWYER]],Parameters[#Headers],0))*Details[[#This Row],[TATSÄCHLICHE ARBEIT]]</f>
        <v>#N/A</v>
      </c>
      <c r="V8" s="26" t="e">
        <f>INDEX(Parameters[],MATCH(Details[[#This Row],[PROJEKTTYP]],Parameters[PROJEKTTYP],0),MATCH(Details[[#Headers],[BANKRUPTCY LAWYER]],Parameters[#Headers],0))*INDEX(PROJEKTPARAMETER!$B$11:$H$11,1,MATCH(Details[[#Headers],[BANKRUPTCY LAWYER]],Parameters[#Headers],0))*Details[[#This Row],[TATSÄCHLICHE ARBEIT]]</f>
        <v>#N/A</v>
      </c>
      <c r="W8" s="26" t="e">
        <f>INDEX(Parameters[],MATCH(Details[[#This Row],[PROJEKTTYP]],Parameters[PROJEKTTYP],0),MATCH(Details[[#Headers],[ADMIN STAFF]],Parameters[#Headers],0))*INDEX(PROJEKTPARAMETER!$B$11:$H$11,1,MATCH(Details[[#Headers],[ADMIN STAFF]],Parameters[#Headers],0))*Details[[#This Row],[TATSÄCHLICHE ARBEIT]]</f>
        <v>#N/A</v>
      </c>
      <c r="Y8" s="30"/>
      <c r="Z8" s="30"/>
      <c r="AA8" s="30"/>
      <c r="AB8" s="30"/>
      <c r="AC8" s="30"/>
    </row>
    <row r="9" spans="1:29" s="27" customFormat="1" ht="34.799999999999997" customHeight="1" x14ac:dyDescent="0.25">
      <c r="A9" s="24"/>
      <c r="B9" s="25" t="s">
        <v>61</v>
      </c>
      <c r="C9" s="25" t="s">
        <v>46</v>
      </c>
      <c r="D9" s="37">
        <f ca="1">TODAY()+220</f>
        <v>46246</v>
      </c>
      <c r="E9" s="37">
        <f ca="1">TODAY()+250</f>
        <v>46276</v>
      </c>
      <c r="F9" s="37">
        <f ca="1">TODAY()+230</f>
        <v>46256</v>
      </c>
      <c r="G9" s="37">
        <f ca="1">TODAY()+259</f>
        <v>46285</v>
      </c>
      <c r="H9" s="25">
        <v>250</v>
      </c>
      <c r="I9" s="25">
        <v>255</v>
      </c>
      <c r="J9" s="25">
        <f ca="1">DAYS360(Details[[#This Row],[GESCHÄTZTER START]],Details[[#This Row],[GESCHÄTZTES ERGEBNIS]],FALSE)</f>
        <v>29</v>
      </c>
      <c r="K9" s="25">
        <f ca="1">DAYS360(Details[[#This Row],[EIGENTLICHER START]],Details[[#This Row],[AKTUELLES ERGEBNIS]],FALSE)</f>
        <v>28</v>
      </c>
      <c r="L9" s="26" t="e">
        <f>INDEX(Parameters[],MATCH(Details[[#This Row],[PROJEKTTYP]],Parameters[PROJEKTTYP],0),MATCH(Details[[#Headers],[GENERAL PARTNER]],Parameters[#Headers],0))*INDEX(PROJEKTPARAMETER!$B$11:$H$11,1,MATCH(Details[[#Headers],[GENERAL PARTNER]],Parameters[#Headers],0))*Details[[#This Row],[GESCHÄTZTE ARBEIT]]</f>
        <v>#N/A</v>
      </c>
      <c r="M9" s="26" t="e">
        <f>INDEX(Parameters[],MATCH(Details[[#This Row],[PROJEKTTYP]],Parameters[PROJEKTTYP],0),MATCH(Details[[#Headers],[BUSINESS LAWYER]],Parameters[#Headers],0))*INDEX(PROJEKTPARAMETER!$B$11:$H$11,1,MATCH(Details[[#Headers],[BUSINESS LAWYER]],Parameters[#Headers],0))*Details[[#This Row],[GESCHÄTZTE ARBEIT]]</f>
        <v>#N/A</v>
      </c>
      <c r="N9" s="26" t="e">
        <f>INDEX(Parameters[],MATCH(Details[[#This Row],[PROJEKTTYP]],Parameters[PROJEKTTYP],0),MATCH(Details[[#Headers],[DEFENSE LITIGATOR]],Parameters[#Headers],0))*INDEX(PROJEKTPARAMETER!$B$11:$H$11,1,MATCH(Details[[#Headers],[DEFENSE LITIGATOR]],Parameters[#Headers],0))*Details[[#This Row],[GESCHÄTZTE ARBEIT]]</f>
        <v>#N/A</v>
      </c>
      <c r="O9" s="26" t="e">
        <f>INDEX(Parameters[],MATCH(Details[[#This Row],[PROJEKTTYP]],Parameters[PROJEKTTYP],0),MATCH(Details[[#Headers],[INTELLECTUAL PROPERTY LAWYER]],Parameters[#Headers],0))*INDEX(PROJEKTPARAMETER!$B$11:$H$11,1,MATCH(Details[[#Headers],[INTELLECTUAL PROPERTY LAWYER]],Parameters[#Headers],0))*Details[[#This Row],[GESCHÄTZTE ARBEIT]]</f>
        <v>#N/A</v>
      </c>
      <c r="P9" s="26" t="e">
        <f>INDEX(Parameters[],MATCH(Details[[#This Row],[PROJEKTTYP]],Parameters[PROJEKTTYP],0),MATCH(Details[[#Headers],[BANKRUPTCY LAWYER]],Parameters[#Headers],0))*INDEX(PROJEKTPARAMETER!$B$11:$H$11,1,MATCH(Details[[#Headers],[BANKRUPTCY LAWYER]],Parameters[#Headers],0))*Details[[#This Row],[GESCHÄTZTE ARBEIT]]</f>
        <v>#N/A</v>
      </c>
      <c r="Q9" s="26" t="e">
        <f>INDEX(Parameters[],MATCH(Details[[#This Row],[PROJEKTTYP]],Parameters[PROJEKTTYP],0),MATCH(Details[[#Headers],[ADMIN STAFF]],Parameters[#Headers],0))*INDEX(PROJEKTPARAMETER!$B$11:$H$11,1,MATCH(Details[[#Headers],[ADMIN STAFF]],Parameters[#Headers],0))*Details[[#This Row],[GESCHÄTZTE ARBEIT]]</f>
        <v>#N/A</v>
      </c>
      <c r="R9" s="26" t="e">
        <f>INDEX(Parameters[],MATCH(Details[[#This Row],[PROJEKTTYP]],Parameters[PROJEKTTYP],0),MATCH(Details[[#Headers],[GENERAL PARTNER]],Parameters[#Headers],0))*INDEX(PROJEKTPARAMETER!$B$11:$H$11,1,MATCH(Details[[#Headers],[GENERAL PARTNER]],Parameters[#Headers],0))*Details[[#This Row],[TATSÄCHLICHE ARBEIT]]</f>
        <v>#N/A</v>
      </c>
      <c r="S9" s="26" t="e">
        <f>INDEX(Parameters[],MATCH(Details[[#This Row],[PROJEKTTYP]],Parameters[PROJEKTTYP],0),MATCH(Details[[#Headers],[BUSINESS LAWYER]],Parameters[#Headers],0))*INDEX(PROJEKTPARAMETER!$B$11:$H$11,1,MATCH(Details[[#Headers],[BUSINESS LAWYER]],Parameters[#Headers],0))*Details[[#This Row],[TATSÄCHLICHE ARBEIT]]</f>
        <v>#N/A</v>
      </c>
      <c r="T9" s="26" t="e">
        <f>INDEX(Parameters[],MATCH(Details[[#This Row],[PROJEKTTYP]],Parameters[PROJEKTTYP],0),MATCH(Details[[#Headers],[DEFENSE LITIGATOR]],Parameters[#Headers],0))*INDEX(PROJEKTPARAMETER!$B$11:$H$11,1,MATCH(Details[[#Headers],[DEFENSE LITIGATOR]],Parameters[#Headers],0))*Details[[#This Row],[TATSÄCHLICHE ARBEIT]]</f>
        <v>#N/A</v>
      </c>
      <c r="U9" s="26" t="e">
        <f>INDEX(Parameters[],MATCH(Details[[#This Row],[PROJEKTTYP]],Parameters[PROJEKTTYP],0),MATCH(Details[[#Headers],[INTELLECTUAL PROPERTY LAWYER]],Parameters[#Headers],0))*INDEX(PROJEKTPARAMETER!$B$11:$H$11,1,MATCH(Details[[#Headers],[INTELLECTUAL PROPERTY LAWYER]],Parameters[#Headers],0))*Details[[#This Row],[TATSÄCHLICHE ARBEIT]]</f>
        <v>#N/A</v>
      </c>
      <c r="V9" s="26" t="e">
        <f>INDEX(Parameters[],MATCH(Details[[#This Row],[PROJEKTTYP]],Parameters[PROJEKTTYP],0),MATCH(Details[[#Headers],[BANKRUPTCY LAWYER]],Parameters[#Headers],0))*INDEX(PROJEKTPARAMETER!$B$11:$H$11,1,MATCH(Details[[#Headers],[BANKRUPTCY LAWYER]],Parameters[#Headers],0))*Details[[#This Row],[TATSÄCHLICHE ARBEIT]]</f>
        <v>#N/A</v>
      </c>
      <c r="W9" s="26" t="e">
        <f>INDEX(Parameters[],MATCH(Details[[#This Row],[PROJEKTTYP]],Parameters[PROJEKTTYP],0),MATCH(Details[[#Headers],[ADMIN STAFF]],Parameters[#Headers],0))*INDEX(PROJEKTPARAMETER!$B$11:$H$11,1,MATCH(Details[[#Headers],[ADMIN STAFF]],Parameters[#Headers],0))*Details[[#This Row],[TATSÄCHLICHE ARBEIT]]</f>
        <v>#N/A</v>
      </c>
      <c r="Y9" s="30"/>
      <c r="Z9" s="30"/>
      <c r="AA9" s="30"/>
      <c r="AB9" s="30"/>
      <c r="AC9" s="30"/>
    </row>
    <row r="10" spans="1:29" s="27" customFormat="1" ht="34.799999999999997" customHeight="1" x14ac:dyDescent="0.25">
      <c r="A10" s="24"/>
      <c r="B10" s="27" t="s">
        <v>55</v>
      </c>
      <c r="H10" s="27">
        <f>SUBTOTAL(109,Details[GESCHÄTZTE ARBEIT])</f>
        <v>1500</v>
      </c>
      <c r="I10" s="27">
        <f>SUBTOTAL(109,Details[TATSÄCHLICHE ARBEIT])</f>
        <v>1510</v>
      </c>
      <c r="J10" s="27">
        <f ca="1">SUBTOTAL(109,Details[GESCHÄTZTE DAUER])</f>
        <v>190</v>
      </c>
      <c r="K10" s="27">
        <f ca="1">SUBTOTAL(109,Details[TATSÄCHLICHE DAUER])</f>
        <v>175</v>
      </c>
    </row>
  </sheetData>
  <mergeCells count="1">
    <mergeCell ref="Y2:AC9"/>
  </mergeCells>
  <dataValidations count="1">
    <dataValidation type="list" allowBlank="1" showInputMessage="1" showErrorMessage="1" sqref="C5:C9" xr:uid="{00000000-0002-0000-0200-000000000000}">
      <formula1>ProjectType</formula1>
    </dataValidation>
  </dataValidations>
  <printOptions horizontalCentered="1"/>
  <pageMargins left="0.4" right="0.4" top="0.4" bottom="0.4" header="0.3" footer="0.3"/>
  <pageSetup scale="95" fitToHeight="0" orientation="landscape" horizontalDpi="4294967293" verticalDpi="0" r:id="rId1"/>
  <headerFooter differentFirst="1">
    <oddFooter>Page &amp;P of &amp;N</oddFooter>
  </headerFooter>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7"/>
    <pageSetUpPr fitToPage="1"/>
  </sheetPr>
  <dimension ref="A1:T28"/>
  <sheetViews>
    <sheetView showGridLines="0" tabSelected="1" zoomScale="90" zoomScaleNormal="90" workbookViewId="0">
      <selection activeCell="N36" sqref="N36"/>
    </sheetView>
  </sheetViews>
  <sheetFormatPr baseColWidth="10" defaultColWidth="9.109375" defaultRowHeight="13.8" x14ac:dyDescent="0.25"/>
  <cols>
    <col min="1" max="1" width="1.88671875" style="10" customWidth="1"/>
    <col min="2" max="2" width="16.44140625" style="1" bestFit="1" customWidth="1"/>
    <col min="3" max="14" width="16.6640625" style="1" customWidth="1"/>
    <col min="15" max="15" width="2.6640625" style="1" customWidth="1"/>
    <col min="16" max="16384" width="9.109375" style="1"/>
  </cols>
  <sheetData>
    <row r="1" spans="1:20" ht="35.4" customHeight="1" x14ac:dyDescent="0.25">
      <c r="A1" s="10" t="s">
        <v>30</v>
      </c>
      <c r="B1" s="22" t="s">
        <v>39</v>
      </c>
      <c r="C1" s="22"/>
      <c r="D1" s="22"/>
      <c r="E1" s="22"/>
      <c r="F1" s="22"/>
      <c r="G1" s="22"/>
      <c r="H1" s="22"/>
      <c r="I1" s="22"/>
      <c r="J1" s="22"/>
      <c r="K1" s="22"/>
      <c r="L1" s="22"/>
      <c r="M1" s="22"/>
      <c r="N1" s="22"/>
    </row>
    <row r="2" spans="1:20" ht="20.399999999999999" x14ac:dyDescent="0.35">
      <c r="A2" s="10" t="s">
        <v>26</v>
      </c>
      <c r="B2" s="2" t="s">
        <v>40</v>
      </c>
      <c r="C2" s="2"/>
      <c r="D2" s="2"/>
      <c r="E2" s="2"/>
      <c r="F2" s="2"/>
      <c r="G2" s="2"/>
      <c r="H2" s="2"/>
      <c r="I2" s="2"/>
      <c r="J2" s="2"/>
      <c r="K2" s="2"/>
    </row>
    <row r="3" spans="1:20" ht="15" x14ac:dyDescent="0.25">
      <c r="B3" s="3"/>
      <c r="C3" s="3"/>
      <c r="D3" s="3"/>
      <c r="E3" s="3"/>
      <c r="F3" s="3"/>
      <c r="G3" s="3"/>
      <c r="H3" s="3"/>
      <c r="I3" s="3"/>
      <c r="J3" s="3"/>
      <c r="K3" s="3"/>
    </row>
    <row r="4" spans="1:20" ht="21.6" customHeight="1" x14ac:dyDescent="0.25">
      <c r="A4" s="10" t="s">
        <v>37</v>
      </c>
      <c r="C4" s="31" t="s">
        <v>70</v>
      </c>
      <c r="D4" s="32"/>
      <c r="E4" s="32"/>
      <c r="F4" s="32"/>
      <c r="G4" s="32"/>
      <c r="H4" s="33"/>
      <c r="I4" s="31" t="s">
        <v>71</v>
      </c>
      <c r="J4" s="32"/>
      <c r="K4" s="32"/>
      <c r="L4" s="32"/>
      <c r="M4" s="32"/>
      <c r="N4" s="33"/>
      <c r="P4" s="34" t="s">
        <v>38</v>
      </c>
      <c r="Q4" s="35"/>
      <c r="R4" s="35"/>
      <c r="S4" s="35"/>
      <c r="T4" s="35"/>
    </row>
    <row r="5" spans="1:20" s="9" customFormat="1" ht="26.4" x14ac:dyDescent="0.25">
      <c r="A5" s="18" t="s">
        <v>31</v>
      </c>
      <c r="B5" s="21" t="s">
        <v>56</v>
      </c>
      <c r="C5" s="8" t="s">
        <v>49</v>
      </c>
      <c r="D5" s="8" t="s">
        <v>72</v>
      </c>
      <c r="E5" s="8" t="s">
        <v>51</v>
      </c>
      <c r="F5" s="8" t="s">
        <v>73</v>
      </c>
      <c r="G5" s="8" t="s">
        <v>74</v>
      </c>
      <c r="H5" s="8" t="s">
        <v>54</v>
      </c>
      <c r="I5" s="8" t="s">
        <v>15</v>
      </c>
      <c r="J5" s="8" t="s">
        <v>19</v>
      </c>
      <c r="K5" s="8" t="s">
        <v>16</v>
      </c>
      <c r="L5" s="8" t="s">
        <v>20</v>
      </c>
      <c r="M5" s="8" t="s">
        <v>17</v>
      </c>
      <c r="N5" s="8" t="s">
        <v>21</v>
      </c>
      <c r="P5" s="35"/>
      <c r="Q5" s="35"/>
      <c r="R5" s="35"/>
      <c r="S5" s="35"/>
      <c r="T5" s="35"/>
    </row>
    <row r="6" spans="1:20" ht="36.6" customHeight="1" x14ac:dyDescent="0.25">
      <c r="B6" t="s">
        <v>57</v>
      </c>
      <c r="C6" s="38">
        <v>7000</v>
      </c>
      <c r="D6" s="38">
        <v>20000</v>
      </c>
      <c r="E6" s="38">
        <v>0</v>
      </c>
      <c r="F6" s="38">
        <v>0</v>
      </c>
      <c r="G6" s="38">
        <v>0</v>
      </c>
      <c r="H6" s="38">
        <v>12500</v>
      </c>
      <c r="I6" s="38">
        <v>7700</v>
      </c>
      <c r="J6" s="38">
        <v>22000</v>
      </c>
      <c r="K6" s="38">
        <v>0</v>
      </c>
      <c r="L6" s="38">
        <v>0</v>
      </c>
      <c r="M6" s="38">
        <v>0</v>
      </c>
      <c r="N6" s="38">
        <v>13750</v>
      </c>
      <c r="P6" s="35"/>
      <c r="Q6" s="35"/>
      <c r="R6" s="35"/>
      <c r="S6" s="35"/>
      <c r="T6" s="35"/>
    </row>
    <row r="7" spans="1:20" ht="36.6" customHeight="1" x14ac:dyDescent="0.25">
      <c r="B7" t="s">
        <v>58</v>
      </c>
      <c r="C7" s="38">
        <v>14000</v>
      </c>
      <c r="D7" s="38">
        <v>40000</v>
      </c>
      <c r="E7" s="38">
        <v>0</v>
      </c>
      <c r="F7" s="38">
        <v>11000</v>
      </c>
      <c r="G7" s="38">
        <v>0</v>
      </c>
      <c r="H7" s="38">
        <v>20000</v>
      </c>
      <c r="I7" s="38">
        <v>13650</v>
      </c>
      <c r="J7" s="38">
        <v>39000</v>
      </c>
      <c r="K7" s="38">
        <v>0</v>
      </c>
      <c r="L7" s="38">
        <v>0</v>
      </c>
      <c r="M7" s="38">
        <v>10725</v>
      </c>
      <c r="N7" s="38">
        <v>19500</v>
      </c>
      <c r="P7" s="35"/>
      <c r="Q7" s="35"/>
      <c r="R7" s="35"/>
      <c r="S7" s="35"/>
      <c r="T7" s="35"/>
    </row>
    <row r="8" spans="1:20" ht="36.6" customHeight="1" x14ac:dyDescent="0.25">
      <c r="B8" t="s">
        <v>59</v>
      </c>
      <c r="C8" s="38">
        <v>35000</v>
      </c>
      <c r="D8" s="38">
        <v>0</v>
      </c>
      <c r="E8" s="38">
        <v>75000</v>
      </c>
      <c r="F8" s="38">
        <v>0</v>
      </c>
      <c r="G8" s="38">
        <v>0</v>
      </c>
      <c r="H8" s="38">
        <v>18750</v>
      </c>
      <c r="I8" s="38">
        <v>35000</v>
      </c>
      <c r="J8" s="38">
        <v>0</v>
      </c>
      <c r="K8" s="38">
        <v>75000</v>
      </c>
      <c r="L8" s="38">
        <v>0</v>
      </c>
      <c r="M8" s="38">
        <v>0</v>
      </c>
      <c r="N8" s="38">
        <v>18750</v>
      </c>
      <c r="P8" s="35"/>
      <c r="Q8" s="35"/>
      <c r="R8" s="35"/>
      <c r="S8" s="35"/>
      <c r="T8" s="35"/>
    </row>
    <row r="9" spans="1:20" ht="36.6" customHeight="1" x14ac:dyDescent="0.25">
      <c r="B9" t="s">
        <v>60</v>
      </c>
      <c r="C9" s="38">
        <v>5250</v>
      </c>
      <c r="D9" s="38">
        <v>0</v>
      </c>
      <c r="E9" s="38">
        <v>0</v>
      </c>
      <c r="F9" s="38">
        <v>24750</v>
      </c>
      <c r="G9" s="38">
        <v>0</v>
      </c>
      <c r="H9" s="38">
        <v>5625</v>
      </c>
      <c r="I9" s="38">
        <v>5075</v>
      </c>
      <c r="J9" s="38">
        <v>0</v>
      </c>
      <c r="K9" s="38">
        <v>0</v>
      </c>
      <c r="L9" s="38">
        <v>0</v>
      </c>
      <c r="M9" s="38">
        <v>23925</v>
      </c>
      <c r="N9" s="38">
        <v>5437.5</v>
      </c>
      <c r="P9" s="35"/>
      <c r="Q9" s="35"/>
      <c r="R9" s="35"/>
      <c r="S9" s="35"/>
      <c r="T9" s="35"/>
    </row>
    <row r="10" spans="1:20" ht="36.6" customHeight="1" x14ac:dyDescent="0.25">
      <c r="B10" t="s">
        <v>61</v>
      </c>
      <c r="C10" s="38">
        <v>17500</v>
      </c>
      <c r="D10" s="38">
        <v>6250</v>
      </c>
      <c r="E10" s="38">
        <v>30000</v>
      </c>
      <c r="F10" s="38">
        <v>0</v>
      </c>
      <c r="G10" s="38">
        <v>0</v>
      </c>
      <c r="H10" s="38">
        <v>9375</v>
      </c>
      <c r="I10" s="38">
        <v>17850</v>
      </c>
      <c r="J10" s="38">
        <v>6375</v>
      </c>
      <c r="K10" s="38">
        <v>30600</v>
      </c>
      <c r="L10" s="38">
        <v>0</v>
      </c>
      <c r="M10" s="38">
        <v>0</v>
      </c>
      <c r="N10" s="38">
        <v>9562.5</v>
      </c>
      <c r="P10" s="35"/>
      <c r="Q10" s="35"/>
      <c r="R10" s="35"/>
      <c r="S10" s="35"/>
      <c r="T10" s="35"/>
    </row>
    <row r="11" spans="1:20" ht="36.6" customHeight="1" x14ac:dyDescent="0.25">
      <c r="B11" t="s">
        <v>75</v>
      </c>
      <c r="C11" s="38">
        <v>78750</v>
      </c>
      <c r="D11" s="38">
        <v>66250</v>
      </c>
      <c r="E11" s="38">
        <v>105000</v>
      </c>
      <c r="F11" s="38">
        <v>35750</v>
      </c>
      <c r="G11" s="38">
        <v>0</v>
      </c>
      <c r="H11" s="38">
        <v>66250</v>
      </c>
      <c r="I11" s="38">
        <v>79275</v>
      </c>
      <c r="J11" s="38">
        <v>67375</v>
      </c>
      <c r="K11" s="38">
        <v>105600</v>
      </c>
      <c r="L11" s="38">
        <v>0</v>
      </c>
      <c r="M11" s="38">
        <v>34650</v>
      </c>
      <c r="N11" s="38">
        <v>67000</v>
      </c>
      <c r="P11" s="35"/>
      <c r="Q11" s="35"/>
      <c r="R11" s="35"/>
      <c r="S11" s="35"/>
      <c r="T11" s="35"/>
    </row>
    <row r="12" spans="1:20" x14ac:dyDescent="0.25">
      <c r="B12"/>
      <c r="C12"/>
      <c r="D12"/>
      <c r="E12"/>
      <c r="F12"/>
      <c r="G12"/>
      <c r="H12"/>
      <c r="I12"/>
      <c r="J12"/>
      <c r="K12"/>
      <c r="L12"/>
      <c r="M12"/>
      <c r="N12"/>
      <c r="P12" s="35"/>
      <c r="Q12" s="35"/>
      <c r="R12" s="35"/>
      <c r="S12" s="35"/>
      <c r="T12" s="35"/>
    </row>
    <row r="13" spans="1:20" x14ac:dyDescent="0.25">
      <c r="B13"/>
      <c r="C13"/>
      <c r="D13"/>
      <c r="E13"/>
      <c r="F13"/>
      <c r="G13"/>
      <c r="H13"/>
      <c r="I13"/>
      <c r="J13"/>
      <c r="K13"/>
      <c r="L13"/>
      <c r="M13"/>
      <c r="N13"/>
      <c r="P13" s="35"/>
      <c r="Q13" s="35"/>
      <c r="R13" s="35"/>
      <c r="S13" s="35"/>
      <c r="T13" s="35"/>
    </row>
    <row r="14" spans="1:20" x14ac:dyDescent="0.25">
      <c r="B14"/>
      <c r="C14"/>
      <c r="D14"/>
      <c r="E14"/>
      <c r="F14"/>
      <c r="G14"/>
      <c r="H14"/>
      <c r="I14"/>
      <c r="J14"/>
      <c r="K14"/>
      <c r="L14"/>
      <c r="M14"/>
      <c r="N14"/>
      <c r="P14" s="35"/>
      <c r="Q14" s="35"/>
      <c r="R14" s="35"/>
      <c r="S14" s="35"/>
      <c r="T14" s="35"/>
    </row>
    <row r="15" spans="1:20" x14ac:dyDescent="0.25">
      <c r="B15"/>
      <c r="C15"/>
      <c r="D15"/>
      <c r="E15"/>
      <c r="F15"/>
      <c r="G15"/>
      <c r="H15"/>
      <c r="I15"/>
      <c r="J15"/>
      <c r="K15"/>
      <c r="L15"/>
      <c r="M15"/>
      <c r="N15"/>
      <c r="P15" s="35"/>
      <c r="Q15" s="35"/>
      <c r="R15" s="35"/>
      <c r="S15" s="35"/>
      <c r="T15" s="35"/>
    </row>
    <row r="16" spans="1:20" x14ac:dyDescent="0.25">
      <c r="B16"/>
      <c r="C16"/>
      <c r="D16"/>
      <c r="E16"/>
      <c r="F16"/>
      <c r="G16"/>
      <c r="H16"/>
      <c r="I16"/>
      <c r="J16"/>
      <c r="K16"/>
      <c r="L16"/>
      <c r="M16"/>
      <c r="N16"/>
    </row>
    <row r="17" spans="2:14" x14ac:dyDescent="0.25">
      <c r="B17"/>
      <c r="C17"/>
      <c r="D17"/>
      <c r="E17"/>
      <c r="F17"/>
      <c r="G17"/>
      <c r="H17"/>
      <c r="I17"/>
      <c r="J17"/>
      <c r="K17"/>
      <c r="L17"/>
      <c r="M17"/>
      <c r="N17"/>
    </row>
    <row r="18" spans="2:14" x14ac:dyDescent="0.25">
      <c r="B18"/>
      <c r="C18"/>
      <c r="D18"/>
      <c r="E18"/>
      <c r="F18"/>
      <c r="G18"/>
      <c r="H18"/>
      <c r="I18"/>
      <c r="J18"/>
      <c r="K18"/>
      <c r="L18"/>
      <c r="M18"/>
      <c r="N18"/>
    </row>
    <row r="19" spans="2:14" x14ac:dyDescent="0.25">
      <c r="B19"/>
      <c r="C19"/>
      <c r="D19"/>
      <c r="E19"/>
      <c r="F19"/>
      <c r="G19"/>
      <c r="H19"/>
      <c r="I19"/>
      <c r="J19"/>
      <c r="K19"/>
      <c r="L19"/>
      <c r="M19"/>
      <c r="N19"/>
    </row>
    <row r="20" spans="2:14" x14ac:dyDescent="0.25">
      <c r="B20"/>
      <c r="C20"/>
      <c r="D20"/>
      <c r="E20"/>
      <c r="F20"/>
      <c r="G20"/>
      <c r="H20"/>
      <c r="I20"/>
      <c r="J20"/>
      <c r="K20"/>
      <c r="L20"/>
      <c r="M20"/>
      <c r="N20"/>
    </row>
    <row r="21" spans="2:14" x14ac:dyDescent="0.25">
      <c r="B21"/>
      <c r="C21"/>
      <c r="D21"/>
      <c r="E21"/>
      <c r="F21"/>
      <c r="G21"/>
      <c r="H21"/>
      <c r="I21"/>
      <c r="J21"/>
      <c r="K21"/>
      <c r="L21"/>
      <c r="M21"/>
      <c r="N21"/>
    </row>
    <row r="22" spans="2:14" x14ac:dyDescent="0.25">
      <c r="B22"/>
      <c r="C22"/>
      <c r="D22"/>
      <c r="E22"/>
      <c r="F22"/>
      <c r="G22"/>
      <c r="H22"/>
      <c r="I22"/>
      <c r="J22"/>
      <c r="K22"/>
      <c r="L22"/>
      <c r="M22"/>
      <c r="N22"/>
    </row>
    <row r="23" spans="2:14" x14ac:dyDescent="0.25">
      <c r="B23"/>
      <c r="C23"/>
      <c r="D23"/>
      <c r="E23"/>
      <c r="F23"/>
      <c r="G23"/>
      <c r="H23"/>
      <c r="I23"/>
      <c r="J23"/>
      <c r="K23"/>
      <c r="L23"/>
      <c r="M23"/>
      <c r="N23"/>
    </row>
    <row r="24" spans="2:14" x14ac:dyDescent="0.25">
      <c r="B24"/>
      <c r="C24"/>
      <c r="D24"/>
      <c r="E24"/>
      <c r="F24"/>
      <c r="G24"/>
      <c r="H24"/>
      <c r="I24"/>
      <c r="J24"/>
      <c r="K24"/>
      <c r="L24"/>
      <c r="M24"/>
      <c r="N24"/>
    </row>
    <row r="25" spans="2:14" x14ac:dyDescent="0.25">
      <c r="B25"/>
      <c r="C25"/>
      <c r="D25"/>
      <c r="E25"/>
      <c r="F25"/>
      <c r="G25"/>
      <c r="H25"/>
      <c r="I25"/>
      <c r="J25"/>
      <c r="K25"/>
      <c r="L25"/>
      <c r="M25"/>
      <c r="N25"/>
    </row>
    <row r="26" spans="2:14" x14ac:dyDescent="0.25">
      <c r="B26"/>
      <c r="C26"/>
      <c r="D26"/>
      <c r="E26"/>
      <c r="F26"/>
      <c r="G26"/>
      <c r="H26"/>
      <c r="I26"/>
      <c r="J26"/>
      <c r="K26"/>
      <c r="L26"/>
      <c r="M26"/>
      <c r="N26"/>
    </row>
    <row r="27" spans="2:14" x14ac:dyDescent="0.25">
      <c r="B27"/>
      <c r="C27"/>
      <c r="D27"/>
      <c r="E27"/>
      <c r="F27"/>
      <c r="G27"/>
      <c r="H27"/>
      <c r="I27"/>
      <c r="J27"/>
      <c r="K27"/>
      <c r="L27"/>
      <c r="M27"/>
      <c r="N27"/>
    </row>
    <row r="28" spans="2:14" x14ac:dyDescent="0.25">
      <c r="B28"/>
      <c r="C28"/>
      <c r="D28"/>
      <c r="E28"/>
      <c r="F28"/>
      <c r="G28"/>
      <c r="H28"/>
      <c r="I28"/>
      <c r="J28"/>
      <c r="K28"/>
      <c r="L28"/>
      <c r="M28"/>
      <c r="N28"/>
    </row>
  </sheetData>
  <mergeCells count="3">
    <mergeCell ref="I4:N4"/>
    <mergeCell ref="C4:H4"/>
    <mergeCell ref="P4:T15"/>
  </mergeCells>
  <printOptions horizontalCentered="1"/>
  <pageMargins left="0.4" right="0.4" top="0.4" bottom="0.4" header="0.3" footer="0.3"/>
  <pageSetup scale="78" fitToHeight="0" orientation="landscape" horizontalDpi="4294967293" r:id="rId2"/>
  <headerFooter differentFirst="1">
    <oddFooter>Page &amp;P of &amp;N</oddFooter>
  </headerFooter>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PROJEKTPARAMETER</vt:lpstr>
      <vt:lpstr>PROJEKTDETAILS</vt:lpstr>
      <vt:lpstr>PROJEKTSUMMEN</vt:lpstr>
      <vt:lpstr>ProjectType</vt:lpstr>
      <vt:lpstr>PROJEKTDETAILS!Títulos_a_imprimir</vt:lpstr>
      <vt:lpstr>PROJEKTSUMMEN!Títulos_a_imprimir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2018-05-29T11:56:34Z</dcterms:created>
  <dcterms:modified xsi:type="dcterms:W3CDTF">2026-01-04T19:12:51Z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2018-05-29T11:56:42.5666079Z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